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adm.vvsu.ru\Emploeye File Server\Cоветник ректора\Служба снабжения\Фролова_Татьяна\! Incoming\Нормы 2019-2020\"/>
    </mc:Choice>
  </mc:AlternateContent>
  <bookViews>
    <workbookView xWindow="0" yWindow="0" windowWidth="28800" windowHeight="13020"/>
  </bookViews>
  <sheets>
    <sheet name="Нормы 2022" sheetId="3" r:id="rId1"/>
    <sheet name="Временные нормы 2022 (2)" sheetId="2" state="hidden" r:id="rId2"/>
    <sheet name="Временные нормы 2022" sheetId="1" state="hidden" r:id="rId3"/>
  </sheets>
  <definedNames>
    <definedName name="_xlnm._FilterDatabase" localSheetId="2" hidden="1">'Временные нормы 2022'!$E$3:$T$223</definedName>
    <definedName name="_xlnm._FilterDatabase" localSheetId="1" hidden="1">'Временные нормы 2022 (2)'!$A$3:$W$223</definedName>
    <definedName name="_xlnm._FilterDatabase" localSheetId="0" hidden="1">'Нормы 2022'!$A$5:$Q$225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3" i="3" l="1"/>
  <c r="M13" i="3"/>
  <c r="L13" i="3"/>
  <c r="K13" i="3"/>
  <c r="N12" i="3"/>
  <c r="M12" i="3"/>
  <c r="L12" i="3"/>
  <c r="K12" i="3"/>
  <c r="N11" i="3"/>
  <c r="M11" i="3"/>
  <c r="L11" i="3"/>
  <c r="K11" i="3"/>
  <c r="N10" i="3"/>
  <c r="M10" i="3"/>
  <c r="L10" i="3"/>
  <c r="K10" i="3"/>
  <c r="N9" i="3"/>
  <c r="M9" i="3"/>
  <c r="L9" i="3"/>
  <c r="K9" i="3"/>
  <c r="N8" i="3"/>
  <c r="M8" i="3"/>
  <c r="L8" i="3"/>
  <c r="K8" i="3"/>
  <c r="N7" i="3"/>
  <c r="M7" i="3"/>
  <c r="L7" i="3"/>
  <c r="K7" i="3"/>
  <c r="H63" i="3" l="1"/>
  <c r="K63" i="3"/>
  <c r="E210" i="3" l="1"/>
  <c r="E209" i="3"/>
  <c r="E180" i="3" l="1"/>
  <c r="E181" i="3"/>
  <c r="E182" i="3"/>
  <c r="E179" i="3"/>
  <c r="E183" i="3"/>
  <c r="E60" i="3" l="1"/>
  <c r="E123" i="3"/>
  <c r="E122" i="3"/>
  <c r="E76" i="3"/>
  <c r="E224" i="3"/>
  <c r="E197" i="3"/>
  <c r="E191" i="3"/>
  <c r="E196" i="3"/>
  <c r="E7" i="3"/>
  <c r="F53" i="3"/>
  <c r="F13" i="3"/>
  <c r="E218" i="3" l="1"/>
  <c r="N201" i="3" l="1"/>
  <c r="N200" i="3"/>
  <c r="N199" i="3"/>
  <c r="N184" i="3"/>
  <c r="M201" i="3"/>
  <c r="M200" i="3"/>
  <c r="M199" i="3"/>
  <c r="M184" i="3"/>
  <c r="L201" i="3"/>
  <c r="L200" i="3"/>
  <c r="L199" i="3"/>
  <c r="L184" i="3"/>
  <c r="K201" i="3"/>
  <c r="K200" i="3"/>
  <c r="K199" i="3"/>
  <c r="K184" i="3"/>
  <c r="K183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J90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7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7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215" i="3"/>
  <c r="I216" i="3"/>
  <c r="I217" i="3"/>
  <c r="I218" i="3"/>
  <c r="I219" i="3"/>
  <c r="I220" i="3"/>
  <c r="I221" i="3"/>
  <c r="I222" i="3"/>
  <c r="I223" i="3"/>
  <c r="I224" i="3"/>
  <c r="I225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1" i="3"/>
  <c r="H222" i="3"/>
  <c r="H223" i="3"/>
  <c r="H224" i="3"/>
  <c r="H225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7" i="3"/>
  <c r="F8" i="3"/>
  <c r="F9" i="3"/>
  <c r="F10" i="3"/>
  <c r="F11" i="3"/>
  <c r="F12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7" i="3"/>
  <c r="H1" i="3" l="1"/>
  <c r="F1" i="3"/>
  <c r="G1" i="3"/>
  <c r="I1" i="3"/>
  <c r="J1" i="3"/>
  <c r="N225" i="3"/>
  <c r="N224" i="3"/>
  <c r="N223" i="3"/>
  <c r="N222" i="3"/>
  <c r="N221" i="3"/>
  <c r="N220" i="3"/>
  <c r="N219" i="3"/>
  <c r="N218" i="3"/>
  <c r="N217" i="3"/>
  <c r="N216" i="3"/>
  <c r="N215" i="3"/>
  <c r="N214" i="3"/>
  <c r="N213" i="3"/>
  <c r="N212" i="3"/>
  <c r="N211" i="3"/>
  <c r="N210" i="3"/>
  <c r="N209" i="3"/>
  <c r="N208" i="3"/>
  <c r="N207" i="3"/>
  <c r="N206" i="3"/>
  <c r="N205" i="3"/>
  <c r="N204" i="3"/>
  <c r="N203" i="3"/>
  <c r="N202" i="3"/>
  <c r="N198" i="3"/>
  <c r="N197" i="3"/>
  <c r="N196" i="3"/>
  <c r="N195" i="3"/>
  <c r="N194" i="3"/>
  <c r="N193" i="3"/>
  <c r="N192" i="3"/>
  <c r="N191" i="3"/>
  <c r="N190" i="3"/>
  <c r="N189" i="3"/>
  <c r="N188" i="3"/>
  <c r="N187" i="3"/>
  <c r="N186" i="3"/>
  <c r="N185" i="3"/>
  <c r="N183" i="3"/>
  <c r="N182" i="3"/>
  <c r="N181" i="3"/>
  <c r="N180" i="3"/>
  <c r="N179" i="3"/>
  <c r="N178" i="3"/>
  <c r="N177" i="3"/>
  <c r="N176" i="3"/>
  <c r="N175" i="3"/>
  <c r="N174" i="3"/>
  <c r="N173" i="3"/>
  <c r="N172" i="3"/>
  <c r="N171" i="3"/>
  <c r="N170" i="3"/>
  <c r="N169" i="3"/>
  <c r="N168" i="3"/>
  <c r="N167" i="3"/>
  <c r="N166" i="3"/>
  <c r="N165" i="3"/>
  <c r="N164" i="3"/>
  <c r="N163" i="3"/>
  <c r="N162" i="3"/>
  <c r="N161" i="3"/>
  <c r="N160" i="3"/>
  <c r="N159" i="3"/>
  <c r="N158" i="3"/>
  <c r="N157" i="3"/>
  <c r="N156" i="3"/>
  <c r="N155" i="3"/>
  <c r="N154" i="3"/>
  <c r="N153" i="3"/>
  <c r="N152" i="3"/>
  <c r="N151" i="3"/>
  <c r="N150" i="3"/>
  <c r="N149" i="3"/>
  <c r="N148" i="3"/>
  <c r="N147" i="3"/>
  <c r="N146" i="3"/>
  <c r="N145" i="3"/>
  <c r="N144" i="3"/>
  <c r="N143" i="3"/>
  <c r="N142" i="3"/>
  <c r="N141" i="3"/>
  <c r="N140" i="3"/>
  <c r="N139" i="3"/>
  <c r="N138" i="3"/>
  <c r="N137" i="3"/>
  <c r="N136" i="3"/>
  <c r="N135" i="3"/>
  <c r="N134" i="3"/>
  <c r="N133" i="3"/>
  <c r="N132" i="3"/>
  <c r="N131" i="3"/>
  <c r="N130" i="3"/>
  <c r="N129" i="3"/>
  <c r="N128" i="3"/>
  <c r="N127" i="3"/>
  <c r="N126" i="3"/>
  <c r="N125" i="3"/>
  <c r="N124" i="3"/>
  <c r="N123" i="3"/>
  <c r="N122" i="3"/>
  <c r="N121" i="3"/>
  <c r="N120" i="3"/>
  <c r="N119" i="3"/>
  <c r="N118" i="3"/>
  <c r="N117" i="3"/>
  <c r="N116" i="3"/>
  <c r="N115" i="3"/>
  <c r="N114" i="3"/>
  <c r="N113" i="3"/>
  <c r="N112" i="3"/>
  <c r="N111" i="3"/>
  <c r="N110" i="3"/>
  <c r="N109" i="3"/>
  <c r="N108" i="3"/>
  <c r="N107" i="3"/>
  <c r="N106" i="3"/>
  <c r="N105" i="3"/>
  <c r="N104" i="3"/>
  <c r="N103" i="3"/>
  <c r="N102" i="3"/>
  <c r="N101" i="3"/>
  <c r="N100" i="3"/>
  <c r="N99" i="3"/>
  <c r="N98" i="3"/>
  <c r="N97" i="3"/>
  <c r="N96" i="3"/>
  <c r="N95" i="3"/>
  <c r="N94" i="3"/>
  <c r="N93" i="3"/>
  <c r="N92" i="3"/>
  <c r="N91" i="3"/>
  <c r="N90" i="3"/>
  <c r="N89" i="3"/>
  <c r="N88" i="3"/>
  <c r="N87" i="3"/>
  <c r="N86" i="3"/>
  <c r="N85" i="3"/>
  <c r="N84" i="3"/>
  <c r="N83" i="3"/>
  <c r="N82" i="3"/>
  <c r="N81" i="3"/>
  <c r="N80" i="3"/>
  <c r="N79" i="3"/>
  <c r="N78" i="3"/>
  <c r="N77" i="3"/>
  <c r="N76" i="3"/>
  <c r="N75" i="3"/>
  <c r="N74" i="3"/>
  <c r="N73" i="3"/>
  <c r="N72" i="3"/>
  <c r="N71" i="3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M225" i="3"/>
  <c r="M224" i="3"/>
  <c r="M223" i="3"/>
  <c r="M222" i="3"/>
  <c r="M221" i="3"/>
  <c r="M220" i="3"/>
  <c r="M219" i="3"/>
  <c r="M218" i="3"/>
  <c r="M217" i="3"/>
  <c r="M216" i="3"/>
  <c r="M215" i="3"/>
  <c r="M214" i="3"/>
  <c r="M213" i="3"/>
  <c r="M212" i="3"/>
  <c r="M211" i="3"/>
  <c r="M210" i="3"/>
  <c r="M209" i="3"/>
  <c r="M208" i="3"/>
  <c r="M207" i="3"/>
  <c r="M206" i="3"/>
  <c r="M205" i="3"/>
  <c r="M204" i="3"/>
  <c r="M203" i="3"/>
  <c r="M202" i="3"/>
  <c r="M198" i="3"/>
  <c r="M197" i="3"/>
  <c r="M196" i="3"/>
  <c r="M195" i="3"/>
  <c r="M194" i="3"/>
  <c r="M193" i="3"/>
  <c r="M192" i="3"/>
  <c r="M191" i="3"/>
  <c r="M190" i="3"/>
  <c r="M189" i="3"/>
  <c r="M188" i="3"/>
  <c r="M187" i="3"/>
  <c r="M186" i="3"/>
  <c r="M185" i="3"/>
  <c r="M183" i="3"/>
  <c r="M182" i="3"/>
  <c r="M181" i="3"/>
  <c r="M180" i="3"/>
  <c r="M179" i="3"/>
  <c r="M178" i="3"/>
  <c r="M177" i="3"/>
  <c r="M176" i="3"/>
  <c r="M175" i="3"/>
  <c r="M174" i="3"/>
  <c r="M173" i="3"/>
  <c r="M172" i="3"/>
  <c r="M171" i="3"/>
  <c r="M170" i="3"/>
  <c r="M169" i="3"/>
  <c r="M168" i="3"/>
  <c r="M167" i="3"/>
  <c r="M166" i="3"/>
  <c r="M165" i="3"/>
  <c r="M164" i="3"/>
  <c r="M163" i="3"/>
  <c r="M162" i="3"/>
  <c r="M161" i="3"/>
  <c r="M160" i="3"/>
  <c r="M159" i="3"/>
  <c r="M158" i="3"/>
  <c r="M157" i="3"/>
  <c r="M156" i="3"/>
  <c r="M155" i="3"/>
  <c r="M154" i="3"/>
  <c r="M153" i="3"/>
  <c r="M152" i="3"/>
  <c r="M151" i="3"/>
  <c r="M150" i="3"/>
  <c r="M149" i="3"/>
  <c r="M148" i="3"/>
  <c r="M147" i="3"/>
  <c r="M146" i="3"/>
  <c r="M145" i="3"/>
  <c r="M144" i="3"/>
  <c r="M143" i="3"/>
  <c r="M142" i="3"/>
  <c r="M141" i="3"/>
  <c r="M140" i="3"/>
  <c r="M139" i="3"/>
  <c r="M138" i="3"/>
  <c r="M137" i="3"/>
  <c r="M136" i="3"/>
  <c r="M135" i="3"/>
  <c r="M134" i="3"/>
  <c r="M133" i="3"/>
  <c r="M132" i="3"/>
  <c r="M131" i="3"/>
  <c r="M130" i="3"/>
  <c r="M129" i="3"/>
  <c r="M128" i="3"/>
  <c r="M127" i="3"/>
  <c r="M126" i="3"/>
  <c r="M125" i="3"/>
  <c r="M124" i="3"/>
  <c r="M123" i="3"/>
  <c r="M122" i="3"/>
  <c r="M121" i="3"/>
  <c r="M120" i="3"/>
  <c r="M119" i="3"/>
  <c r="M118" i="3"/>
  <c r="M117" i="3"/>
  <c r="M116" i="3"/>
  <c r="M115" i="3"/>
  <c r="M114" i="3"/>
  <c r="M113" i="3"/>
  <c r="M112" i="3"/>
  <c r="M111" i="3"/>
  <c r="M110" i="3"/>
  <c r="M109" i="3"/>
  <c r="M108" i="3"/>
  <c r="M107" i="3"/>
  <c r="M106" i="3"/>
  <c r="M105" i="3"/>
  <c r="M104" i="3"/>
  <c r="M103" i="3"/>
  <c r="M102" i="3"/>
  <c r="M101" i="3"/>
  <c r="M100" i="3"/>
  <c r="M99" i="3"/>
  <c r="M98" i="3"/>
  <c r="M97" i="3"/>
  <c r="M96" i="3"/>
  <c r="M95" i="3"/>
  <c r="M94" i="3"/>
  <c r="M93" i="3"/>
  <c r="M92" i="3"/>
  <c r="M91" i="3"/>
  <c r="M90" i="3"/>
  <c r="M89" i="3"/>
  <c r="M88" i="3"/>
  <c r="M87" i="3"/>
  <c r="M86" i="3"/>
  <c r="M85" i="3"/>
  <c r="M84" i="3"/>
  <c r="M83" i="3"/>
  <c r="M82" i="3"/>
  <c r="M81" i="3"/>
  <c r="M80" i="3"/>
  <c r="M79" i="3"/>
  <c r="M78" i="3"/>
  <c r="M77" i="3"/>
  <c r="M76" i="3"/>
  <c r="M75" i="3"/>
  <c r="M74" i="3"/>
  <c r="M73" i="3"/>
  <c r="M72" i="3"/>
  <c r="M71" i="3"/>
  <c r="M70" i="3"/>
  <c r="M69" i="3"/>
  <c r="M68" i="3"/>
  <c r="M67" i="3"/>
  <c r="M66" i="3"/>
  <c r="M65" i="3"/>
  <c r="M64" i="3"/>
  <c r="M63" i="3"/>
  <c r="M62" i="3"/>
  <c r="M61" i="3"/>
  <c r="M60" i="3"/>
  <c r="M59" i="3"/>
  <c r="M58" i="3"/>
  <c r="M57" i="3"/>
  <c r="M56" i="3"/>
  <c r="M55" i="3"/>
  <c r="M54" i="3"/>
  <c r="M53" i="3"/>
  <c r="M52" i="3"/>
  <c r="M51" i="3"/>
  <c r="M50" i="3"/>
  <c r="M49" i="3"/>
  <c r="M48" i="3"/>
  <c r="M47" i="3"/>
  <c r="M46" i="3"/>
  <c r="M45" i="3"/>
  <c r="M44" i="3"/>
  <c r="M43" i="3"/>
  <c r="M42" i="3"/>
  <c r="M41" i="3"/>
  <c r="M40" i="3"/>
  <c r="M39" i="3"/>
  <c r="M38" i="3"/>
  <c r="M37" i="3"/>
  <c r="M36" i="3"/>
  <c r="M35" i="3"/>
  <c r="M34" i="3"/>
  <c r="M33" i="3"/>
  <c r="M32" i="3"/>
  <c r="M31" i="3"/>
  <c r="M30" i="3"/>
  <c r="M29" i="3"/>
  <c r="M28" i="3"/>
  <c r="M27" i="3"/>
  <c r="M26" i="3"/>
  <c r="M25" i="3"/>
  <c r="M24" i="3"/>
  <c r="M23" i="3"/>
  <c r="M22" i="3"/>
  <c r="M21" i="3"/>
  <c r="M20" i="3"/>
  <c r="M19" i="3"/>
  <c r="M18" i="3"/>
  <c r="M17" i="3"/>
  <c r="M16" i="3"/>
  <c r="M15" i="3"/>
  <c r="M14" i="3"/>
  <c r="L225" i="3"/>
  <c r="L224" i="3"/>
  <c r="L223" i="3"/>
  <c r="L222" i="3"/>
  <c r="L221" i="3"/>
  <c r="L220" i="3"/>
  <c r="L219" i="3"/>
  <c r="L218" i="3"/>
  <c r="L217" i="3"/>
  <c r="L216" i="3"/>
  <c r="L215" i="3"/>
  <c r="L214" i="3"/>
  <c r="L213" i="3"/>
  <c r="L212" i="3"/>
  <c r="L211" i="3"/>
  <c r="L210" i="3"/>
  <c r="L209" i="3"/>
  <c r="L208" i="3"/>
  <c r="L207" i="3"/>
  <c r="L206" i="3"/>
  <c r="L205" i="3"/>
  <c r="L204" i="3"/>
  <c r="L203" i="3"/>
  <c r="L202" i="3"/>
  <c r="L198" i="3"/>
  <c r="L197" i="3"/>
  <c r="L196" i="3"/>
  <c r="L195" i="3"/>
  <c r="L194" i="3"/>
  <c r="L193" i="3"/>
  <c r="L192" i="3"/>
  <c r="L191" i="3"/>
  <c r="L190" i="3"/>
  <c r="L189" i="3"/>
  <c r="L188" i="3"/>
  <c r="L187" i="3"/>
  <c r="L186" i="3"/>
  <c r="L185" i="3"/>
  <c r="L183" i="3"/>
  <c r="L182" i="3"/>
  <c r="L181" i="3"/>
  <c r="L180" i="3"/>
  <c r="L179" i="3"/>
  <c r="L178" i="3"/>
  <c r="L177" i="3"/>
  <c r="L176" i="3"/>
  <c r="L175" i="3"/>
  <c r="L174" i="3"/>
  <c r="L173" i="3"/>
  <c r="L172" i="3"/>
  <c r="L171" i="3"/>
  <c r="L170" i="3"/>
  <c r="L169" i="3"/>
  <c r="L168" i="3"/>
  <c r="L167" i="3"/>
  <c r="L166" i="3"/>
  <c r="L165" i="3"/>
  <c r="L164" i="3"/>
  <c r="L163" i="3"/>
  <c r="L162" i="3"/>
  <c r="L161" i="3"/>
  <c r="L160" i="3"/>
  <c r="L159" i="3"/>
  <c r="L158" i="3"/>
  <c r="L157" i="3"/>
  <c r="L156" i="3"/>
  <c r="L155" i="3"/>
  <c r="L154" i="3"/>
  <c r="L153" i="3"/>
  <c r="L152" i="3"/>
  <c r="L151" i="3"/>
  <c r="L150" i="3"/>
  <c r="L149" i="3"/>
  <c r="L148" i="3"/>
  <c r="L147" i="3"/>
  <c r="L146" i="3"/>
  <c r="L145" i="3"/>
  <c r="L144" i="3"/>
  <c r="L143" i="3"/>
  <c r="L142" i="3"/>
  <c r="L141" i="3"/>
  <c r="L140" i="3"/>
  <c r="L139" i="3"/>
  <c r="L138" i="3"/>
  <c r="L137" i="3"/>
  <c r="L136" i="3"/>
  <c r="L135" i="3"/>
  <c r="L134" i="3"/>
  <c r="L133" i="3"/>
  <c r="L132" i="3"/>
  <c r="L131" i="3"/>
  <c r="L130" i="3"/>
  <c r="L129" i="3"/>
  <c r="L128" i="3"/>
  <c r="L127" i="3"/>
  <c r="L126" i="3"/>
  <c r="L125" i="3"/>
  <c r="L124" i="3"/>
  <c r="L123" i="3"/>
  <c r="L122" i="3"/>
  <c r="L121" i="3"/>
  <c r="L120" i="3"/>
  <c r="L119" i="3"/>
  <c r="L118" i="3"/>
  <c r="L117" i="3"/>
  <c r="L116" i="3"/>
  <c r="L115" i="3"/>
  <c r="L114" i="3"/>
  <c r="L113" i="3"/>
  <c r="L112" i="3"/>
  <c r="L111" i="3"/>
  <c r="L110" i="3"/>
  <c r="L109" i="3"/>
  <c r="L108" i="3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K225" i="3"/>
  <c r="K224" i="3"/>
  <c r="K223" i="3"/>
  <c r="K221" i="3"/>
  <c r="K219" i="3"/>
  <c r="K217" i="3"/>
  <c r="K216" i="3"/>
  <c r="K215" i="3"/>
  <c r="K214" i="3"/>
  <c r="K211" i="3"/>
  <c r="K210" i="3"/>
  <c r="K209" i="3"/>
  <c r="K208" i="3"/>
  <c r="K206" i="3"/>
  <c r="K205" i="3"/>
  <c r="K204" i="3"/>
  <c r="K202" i="3"/>
  <c r="K198" i="3"/>
  <c r="K197" i="3"/>
  <c r="K196" i="3"/>
  <c r="K195" i="3"/>
  <c r="K194" i="3"/>
  <c r="K193" i="3"/>
  <c r="K192" i="3"/>
  <c r="K191" i="3"/>
  <c r="K190" i="3"/>
  <c r="K189" i="3"/>
  <c r="K188" i="3"/>
  <c r="K187" i="3"/>
  <c r="K186" i="3"/>
  <c r="K185" i="3"/>
  <c r="K171" i="3"/>
  <c r="K170" i="3"/>
  <c r="K169" i="3"/>
  <c r="K168" i="3"/>
  <c r="K167" i="3"/>
  <c r="K166" i="3"/>
  <c r="K165" i="3"/>
  <c r="K164" i="3"/>
  <c r="K163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6" i="3"/>
  <c r="K147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4" i="3"/>
  <c r="K105" i="3"/>
  <c r="K102" i="3"/>
  <c r="K100" i="3"/>
  <c r="K99" i="3"/>
  <c r="K98" i="3"/>
  <c r="K97" i="3"/>
  <c r="K96" i="3"/>
  <c r="K95" i="3"/>
  <c r="K94" i="3"/>
  <c r="K93" i="3"/>
  <c r="K92" i="3"/>
  <c r="K91" i="3"/>
  <c r="K90" i="3"/>
  <c r="K89" i="3"/>
  <c r="K87" i="3"/>
  <c r="K86" i="3"/>
  <c r="K85" i="3"/>
  <c r="K84" i="3"/>
  <c r="K83" i="3"/>
  <c r="K82" i="3"/>
  <c r="K80" i="3"/>
  <c r="K79" i="3"/>
  <c r="K78" i="3"/>
  <c r="K76" i="3"/>
  <c r="K75" i="3"/>
  <c r="K73" i="3"/>
  <c r="K71" i="3"/>
  <c r="K70" i="3"/>
  <c r="K69" i="3"/>
  <c r="K67" i="3"/>
  <c r="K66" i="3"/>
  <c r="K65" i="3"/>
  <c r="K61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1" i="3"/>
  <c r="K40" i="3"/>
  <c r="K39" i="3"/>
  <c r="K38" i="3"/>
  <c r="K37" i="3"/>
  <c r="K35" i="3"/>
  <c r="K34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222" i="3"/>
  <c r="K218" i="3"/>
  <c r="K213" i="3"/>
  <c r="K207" i="3"/>
  <c r="K203" i="3"/>
  <c r="K162" i="3"/>
  <c r="K108" i="3"/>
  <c r="K107" i="3"/>
  <c r="K106" i="3"/>
  <c r="K77" i="3"/>
  <c r="K74" i="3"/>
  <c r="K64" i="3"/>
  <c r="K60" i="3"/>
  <c r="K42" i="3"/>
  <c r="K36" i="3"/>
  <c r="K33" i="3"/>
  <c r="K68" i="3"/>
  <c r="K62" i="3"/>
  <c r="K220" i="3"/>
  <c r="K212" i="3"/>
  <c r="K101" i="3"/>
  <c r="K43" i="3"/>
  <c r="K103" i="3"/>
  <c r="K88" i="3"/>
  <c r="K81" i="3"/>
  <c r="K72" i="3"/>
  <c r="K182" i="3"/>
  <c r="K181" i="3"/>
  <c r="K180" i="3"/>
  <c r="K179" i="3"/>
  <c r="K178" i="3"/>
  <c r="K177" i="3"/>
  <c r="K176" i="3"/>
  <c r="K175" i="3"/>
  <c r="K174" i="3"/>
  <c r="K173" i="3"/>
  <c r="K172" i="3"/>
  <c r="K1" i="3" l="1"/>
  <c r="N1" i="3"/>
  <c r="L1" i="3"/>
  <c r="M1" i="3"/>
  <c r="D2" i="3"/>
  <c r="E12" i="3"/>
  <c r="E8" i="3"/>
  <c r="E81" i="3"/>
  <c r="E88" i="3"/>
  <c r="E72" i="3"/>
  <c r="E103" i="3"/>
  <c r="E212" i="3"/>
  <c r="E101" i="3"/>
  <c r="E220" i="3"/>
  <c r="E43" i="3"/>
  <c r="E68" i="3"/>
  <c r="E63" i="3"/>
  <c r="E62" i="3"/>
  <c r="E13" i="3"/>
  <c r="E203" i="3"/>
  <c r="E64" i="3"/>
  <c r="E42" i="3"/>
  <c r="E222" i="3"/>
  <c r="E108" i="3"/>
  <c r="E207" i="3"/>
  <c r="E213" i="3"/>
  <c r="E107" i="3"/>
  <c r="E77" i="3"/>
  <c r="E74" i="3"/>
  <c r="E162" i="3"/>
  <c r="E106" i="3"/>
  <c r="E57" i="3"/>
  <c r="E36" i="3"/>
  <c r="E33" i="3"/>
  <c r="E163" i="3"/>
  <c r="E80" i="3"/>
  <c r="E55" i="3"/>
  <c r="E204" i="3"/>
  <c r="E193" i="3"/>
  <c r="E178" i="3"/>
  <c r="E172" i="3"/>
  <c r="E167" i="3"/>
  <c r="E111" i="3"/>
  <c r="E110" i="3"/>
  <c r="E109" i="3"/>
  <c r="E102" i="3"/>
  <c r="E97" i="3"/>
  <c r="E82" i="3"/>
  <c r="E51" i="3"/>
  <c r="E50" i="3"/>
  <c r="E48" i="3"/>
  <c r="E38" i="3"/>
  <c r="E35" i="3"/>
  <c r="E20" i="3"/>
  <c r="E16" i="3"/>
  <c r="E14" i="3"/>
  <c r="E9" i="3"/>
  <c r="E219" i="3"/>
  <c r="E217" i="3"/>
  <c r="E211" i="3"/>
  <c r="E206" i="3"/>
  <c r="E202" i="3"/>
  <c r="E176" i="3"/>
  <c r="E175" i="3"/>
  <c r="E173" i="3"/>
  <c r="E168" i="3"/>
  <c r="E166" i="3"/>
  <c r="E165" i="3"/>
  <c r="E161" i="3"/>
  <c r="E160" i="3"/>
  <c r="E158" i="3"/>
  <c r="E151" i="3"/>
  <c r="E150" i="3"/>
  <c r="E148" i="3"/>
  <c r="E146" i="3"/>
  <c r="E124" i="3"/>
  <c r="E120" i="3"/>
  <c r="E119" i="3"/>
  <c r="E116" i="3"/>
  <c r="E114" i="3"/>
  <c r="E113" i="3"/>
  <c r="E79" i="3"/>
  <c r="E66" i="3"/>
  <c r="E65" i="3"/>
  <c r="E41" i="3"/>
  <c r="E34" i="3"/>
  <c r="E32" i="3"/>
  <c r="E21" i="3"/>
  <c r="E10" i="3"/>
  <c r="E190" i="3"/>
  <c r="E192" i="3"/>
  <c r="E194" i="3"/>
  <c r="E195" i="3"/>
  <c r="E198" i="3"/>
  <c r="E199" i="3"/>
  <c r="E200" i="3"/>
  <c r="E201" i="3"/>
  <c r="E205" i="3"/>
  <c r="E208" i="3"/>
  <c r="E214" i="3"/>
  <c r="E215" i="3"/>
  <c r="E216" i="3"/>
  <c r="E221" i="3"/>
  <c r="E223" i="3"/>
  <c r="E225" i="3"/>
  <c r="E189" i="3"/>
  <c r="E188" i="3"/>
  <c r="E187" i="3"/>
  <c r="E186" i="3"/>
  <c r="E185" i="3"/>
  <c r="E184" i="3"/>
  <c r="E177" i="3"/>
  <c r="E174" i="3"/>
  <c r="E171" i="3"/>
  <c r="E170" i="3"/>
  <c r="E169" i="3"/>
  <c r="E164" i="3"/>
  <c r="E159" i="3"/>
  <c r="E157" i="3"/>
  <c r="E156" i="3"/>
  <c r="E155" i="3"/>
  <c r="E154" i="3"/>
  <c r="E153" i="3"/>
  <c r="E152" i="3"/>
  <c r="E149" i="3"/>
  <c r="E147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1" i="3"/>
  <c r="E118" i="3"/>
  <c r="E117" i="3"/>
  <c r="E115" i="3"/>
  <c r="E112" i="3"/>
  <c r="E105" i="3"/>
  <c r="E104" i="3"/>
  <c r="E100" i="3"/>
  <c r="E99" i="3"/>
  <c r="E98" i="3"/>
  <c r="E96" i="3"/>
  <c r="E95" i="3"/>
  <c r="E94" i="3"/>
  <c r="E93" i="3"/>
  <c r="E92" i="3"/>
  <c r="E91" i="3"/>
  <c r="E90" i="3"/>
  <c r="E89" i="3"/>
  <c r="E87" i="3"/>
  <c r="E86" i="3"/>
  <c r="E85" i="3"/>
  <c r="E84" i="3"/>
  <c r="E83" i="3"/>
  <c r="E78" i="3"/>
  <c r="E75" i="3"/>
  <c r="E73" i="3"/>
  <c r="E71" i="3"/>
  <c r="E70" i="3"/>
  <c r="E69" i="3"/>
  <c r="E67" i="3"/>
  <c r="E61" i="3"/>
  <c r="E59" i="3"/>
  <c r="E58" i="3"/>
  <c r="E56" i="3"/>
  <c r="E54" i="3"/>
  <c r="E53" i="3"/>
  <c r="E52" i="3"/>
  <c r="E49" i="3"/>
  <c r="E47" i="3"/>
  <c r="E46" i="3"/>
  <c r="E45" i="3"/>
  <c r="E44" i="3"/>
  <c r="E40" i="3"/>
  <c r="E39" i="3"/>
  <c r="E37" i="3"/>
  <c r="E31" i="3"/>
  <c r="E30" i="3"/>
  <c r="E29" i="3"/>
  <c r="E28" i="3"/>
  <c r="E27" i="3"/>
  <c r="E26" i="3"/>
  <c r="E25" i="3"/>
  <c r="E24" i="3"/>
  <c r="E23" i="3"/>
  <c r="E22" i="3"/>
  <c r="E19" i="3"/>
  <c r="E18" i="3"/>
  <c r="E17" i="3"/>
  <c r="E15" i="3"/>
  <c r="E11" i="3"/>
  <c r="E1" i="3" l="1"/>
  <c r="H91" i="1"/>
  <c r="A6" i="2" l="1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5" i="2"/>
  <c r="R5" i="2"/>
  <c r="R6" i="2"/>
  <c r="R7" i="2"/>
  <c r="R8" i="2"/>
  <c r="R9" i="2"/>
  <c r="R10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8" i="2"/>
  <c r="R49" i="2"/>
  <c r="R50" i="2"/>
  <c r="R51" i="2"/>
  <c r="R52" i="2"/>
  <c r="R53" i="2"/>
  <c r="R54" i="2"/>
  <c r="R55" i="2"/>
  <c r="R56" i="2"/>
  <c r="R57" i="2"/>
  <c r="R58" i="2"/>
  <c r="R59" i="2"/>
  <c r="R60" i="2"/>
  <c r="R61" i="2"/>
  <c r="R62" i="2"/>
  <c r="R63" i="2"/>
  <c r="R64" i="2"/>
  <c r="R65" i="2"/>
  <c r="R66" i="2"/>
  <c r="R67" i="2"/>
  <c r="R68" i="2"/>
  <c r="R69" i="2"/>
  <c r="R70" i="2"/>
  <c r="R71" i="2"/>
  <c r="R72" i="2"/>
  <c r="R73" i="2"/>
  <c r="R74" i="2"/>
  <c r="R75" i="2"/>
  <c r="R76" i="2"/>
  <c r="R77" i="2"/>
  <c r="R78" i="2"/>
  <c r="R79" i="2"/>
  <c r="R80" i="2"/>
  <c r="R81" i="2"/>
  <c r="R82" i="2"/>
  <c r="R83" i="2"/>
  <c r="R84" i="2"/>
  <c r="R85" i="2"/>
  <c r="R86" i="2"/>
  <c r="R87" i="2"/>
  <c r="R88" i="2"/>
  <c r="R89" i="2"/>
  <c r="R90" i="2"/>
  <c r="R91" i="2"/>
  <c r="R92" i="2"/>
  <c r="R93" i="2"/>
  <c r="R94" i="2"/>
  <c r="R95" i="2"/>
  <c r="R96" i="2"/>
  <c r="R97" i="2"/>
  <c r="R98" i="2"/>
  <c r="R99" i="2"/>
  <c r="R100" i="2"/>
  <c r="R101" i="2"/>
  <c r="R102" i="2"/>
  <c r="R103" i="2"/>
  <c r="R104" i="2"/>
  <c r="R105" i="2"/>
  <c r="R106" i="2"/>
  <c r="R107" i="2"/>
  <c r="R108" i="2"/>
  <c r="R109" i="2"/>
  <c r="R110" i="2"/>
  <c r="R111" i="2"/>
  <c r="R112" i="2"/>
  <c r="R113" i="2"/>
  <c r="R114" i="2"/>
  <c r="R115" i="2"/>
  <c r="R116" i="2"/>
  <c r="R117" i="2"/>
  <c r="R118" i="2"/>
  <c r="R119" i="2"/>
  <c r="R120" i="2"/>
  <c r="R121" i="2"/>
  <c r="R122" i="2"/>
  <c r="R123" i="2"/>
  <c r="R124" i="2"/>
  <c r="R125" i="2"/>
  <c r="R126" i="2"/>
  <c r="R127" i="2"/>
  <c r="R128" i="2"/>
  <c r="R129" i="2"/>
  <c r="R130" i="2"/>
  <c r="R131" i="2"/>
  <c r="R132" i="2"/>
  <c r="R133" i="2"/>
  <c r="R134" i="2"/>
  <c r="R135" i="2"/>
  <c r="R136" i="2"/>
  <c r="R137" i="2"/>
  <c r="R138" i="2"/>
  <c r="R139" i="2"/>
  <c r="R140" i="2"/>
  <c r="R141" i="2"/>
  <c r="R142" i="2"/>
  <c r="R143" i="2"/>
  <c r="R144" i="2"/>
  <c r="R145" i="2"/>
  <c r="R146" i="2"/>
  <c r="R147" i="2"/>
  <c r="R148" i="2"/>
  <c r="R149" i="2"/>
  <c r="R150" i="2"/>
  <c r="R151" i="2"/>
  <c r="R152" i="2"/>
  <c r="R153" i="2"/>
  <c r="R154" i="2"/>
  <c r="R155" i="2"/>
  <c r="R156" i="2"/>
  <c r="R157" i="2"/>
  <c r="R158" i="2"/>
  <c r="R159" i="2"/>
  <c r="R160" i="2"/>
  <c r="R4" i="2"/>
  <c r="W224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R161" i="2" s="1"/>
  <c r="D163" i="2"/>
  <c r="R162" i="2" s="1"/>
  <c r="D164" i="2"/>
  <c r="R163" i="2" s="1"/>
  <c r="D165" i="2"/>
  <c r="R164" i="2" s="1"/>
  <c r="D166" i="2"/>
  <c r="R165" i="2" s="1"/>
  <c r="D167" i="2"/>
  <c r="R166" i="2" s="1"/>
  <c r="D168" i="2"/>
  <c r="R167" i="2" s="1"/>
  <c r="D169" i="2"/>
  <c r="R168" i="2" s="1"/>
  <c r="D170" i="2"/>
  <c r="R169" i="2" s="1"/>
  <c r="D171" i="2"/>
  <c r="R170" i="2" s="1"/>
  <c r="D172" i="2"/>
  <c r="R171" i="2" s="1"/>
  <c r="D173" i="2"/>
  <c r="R172" i="2" s="1"/>
  <c r="D174" i="2"/>
  <c r="R173" i="2" s="1"/>
  <c r="D175" i="2"/>
  <c r="R174" i="2" s="1"/>
  <c r="D176" i="2"/>
  <c r="R175" i="2" s="1"/>
  <c r="D177" i="2"/>
  <c r="R176" i="2" s="1"/>
  <c r="D178" i="2"/>
  <c r="R177" i="2" s="1"/>
  <c r="D179" i="2"/>
  <c r="R178" i="2" s="1"/>
  <c r="D180" i="2"/>
  <c r="R179" i="2" s="1"/>
  <c r="D181" i="2"/>
  <c r="R180" i="2" s="1"/>
  <c r="D182" i="2"/>
  <c r="R181" i="2" s="1"/>
  <c r="D183" i="2"/>
  <c r="R182" i="2" s="1"/>
  <c r="D184" i="2"/>
  <c r="R183" i="2" s="1"/>
  <c r="D185" i="2"/>
  <c r="R184" i="2" s="1"/>
  <c r="D186" i="2"/>
  <c r="R185" i="2" s="1"/>
  <c r="D187" i="2"/>
  <c r="R186" i="2" s="1"/>
  <c r="D188" i="2"/>
  <c r="R187" i="2" s="1"/>
  <c r="D189" i="2"/>
  <c r="R188" i="2" s="1"/>
  <c r="D190" i="2"/>
  <c r="R189" i="2" s="1"/>
  <c r="D191" i="2"/>
  <c r="R190" i="2" s="1"/>
  <c r="D192" i="2"/>
  <c r="R191" i="2" s="1"/>
  <c r="D193" i="2"/>
  <c r="R192" i="2" s="1"/>
  <c r="D194" i="2"/>
  <c r="R193" i="2" s="1"/>
  <c r="D195" i="2"/>
  <c r="R194" i="2" s="1"/>
  <c r="D196" i="2"/>
  <c r="R195" i="2" s="1"/>
  <c r="D197" i="2"/>
  <c r="R196" i="2" s="1"/>
  <c r="D198" i="2"/>
  <c r="R197" i="2" s="1"/>
  <c r="D199" i="2"/>
  <c r="R198" i="2" s="1"/>
  <c r="D200" i="2"/>
  <c r="R199" i="2" s="1"/>
  <c r="D201" i="2"/>
  <c r="R200" i="2" s="1"/>
  <c r="D202" i="2"/>
  <c r="R201" i="2" s="1"/>
  <c r="D203" i="2"/>
  <c r="R202" i="2" s="1"/>
  <c r="D204" i="2"/>
  <c r="R203" i="2" s="1"/>
  <c r="D205" i="2"/>
  <c r="R204" i="2" s="1"/>
  <c r="D206" i="2"/>
  <c r="R205" i="2" s="1"/>
  <c r="D207" i="2"/>
  <c r="R206" i="2" s="1"/>
  <c r="D208" i="2"/>
  <c r="R207" i="2" s="1"/>
  <c r="D209" i="2"/>
  <c r="R208" i="2" s="1"/>
  <c r="D210" i="2"/>
  <c r="R209" i="2" s="1"/>
  <c r="D211" i="2"/>
  <c r="R210" i="2" s="1"/>
  <c r="D212" i="2"/>
  <c r="R211" i="2" s="1"/>
  <c r="D213" i="2"/>
  <c r="R212" i="2" s="1"/>
  <c r="D214" i="2"/>
  <c r="R213" i="2" s="1"/>
  <c r="D215" i="2"/>
  <c r="R214" i="2" s="1"/>
  <c r="D216" i="2"/>
  <c r="R215" i="2" s="1"/>
  <c r="D217" i="2"/>
  <c r="R216" i="2" s="1"/>
  <c r="D218" i="2"/>
  <c r="R217" i="2" s="1"/>
  <c r="D219" i="2"/>
  <c r="R218" i="2" s="1"/>
  <c r="D220" i="2"/>
  <c r="R219" i="2" s="1"/>
  <c r="D221" i="2"/>
  <c r="R220" i="2" s="1"/>
  <c r="D222" i="2"/>
  <c r="R221" i="2" s="1"/>
  <c r="D223" i="2"/>
  <c r="R222" i="2" s="1"/>
  <c r="D224" i="2"/>
  <c r="R223" i="2" s="1"/>
  <c r="D5" i="2"/>
  <c r="E3" i="2"/>
  <c r="H6" i="1"/>
  <c r="H9" i="1"/>
  <c r="H8" i="1"/>
  <c r="H7" i="1"/>
  <c r="H10" i="1"/>
  <c r="D234" i="2" l="1"/>
  <c r="G226" i="1"/>
  <c r="G225" i="1"/>
  <c r="Q222" i="1"/>
  <c r="P222" i="1"/>
  <c r="O222" i="1"/>
  <c r="N222" i="1"/>
  <c r="M222" i="1"/>
  <c r="L222" i="1"/>
  <c r="K222" i="1"/>
  <c r="J222" i="1"/>
  <c r="I222" i="1"/>
  <c r="Q221" i="1"/>
  <c r="P221" i="1"/>
  <c r="O221" i="1"/>
  <c r="N221" i="1"/>
  <c r="M221" i="1"/>
  <c r="L221" i="1"/>
  <c r="K221" i="1"/>
  <c r="J221" i="1"/>
  <c r="I221" i="1"/>
  <c r="Q220" i="1"/>
  <c r="P220" i="1"/>
  <c r="O220" i="1"/>
  <c r="N220" i="1"/>
  <c r="M220" i="1"/>
  <c r="L220" i="1"/>
  <c r="K220" i="1"/>
  <c r="J220" i="1"/>
  <c r="I220" i="1"/>
  <c r="Q219" i="1"/>
  <c r="P219" i="1"/>
  <c r="O219" i="1"/>
  <c r="N219" i="1"/>
  <c r="M219" i="1"/>
  <c r="L219" i="1"/>
  <c r="K219" i="1"/>
  <c r="J219" i="1"/>
  <c r="I219" i="1"/>
  <c r="Q218" i="1"/>
  <c r="P218" i="1"/>
  <c r="O218" i="1"/>
  <c r="N218" i="1"/>
  <c r="M218" i="1"/>
  <c r="L218" i="1"/>
  <c r="K218" i="1"/>
  <c r="J218" i="1"/>
  <c r="I218" i="1"/>
  <c r="Q217" i="1"/>
  <c r="P217" i="1"/>
  <c r="O217" i="1"/>
  <c r="N217" i="1"/>
  <c r="M217" i="1"/>
  <c r="L217" i="1"/>
  <c r="K217" i="1"/>
  <c r="J217" i="1"/>
  <c r="I217" i="1"/>
  <c r="H217" i="1"/>
  <c r="Q216" i="1"/>
  <c r="P216" i="1"/>
  <c r="O216" i="1"/>
  <c r="N216" i="1"/>
  <c r="M216" i="1"/>
  <c r="L216" i="1"/>
  <c r="K216" i="1"/>
  <c r="J216" i="1"/>
  <c r="I216" i="1"/>
  <c r="Q215" i="1"/>
  <c r="P215" i="1"/>
  <c r="O215" i="1"/>
  <c r="N215" i="1"/>
  <c r="M215" i="1"/>
  <c r="L215" i="1"/>
  <c r="K215" i="1"/>
  <c r="J215" i="1"/>
  <c r="I215" i="1"/>
  <c r="Q214" i="1"/>
  <c r="P214" i="1"/>
  <c r="O214" i="1"/>
  <c r="N214" i="1"/>
  <c r="M214" i="1"/>
  <c r="L214" i="1"/>
  <c r="K214" i="1"/>
  <c r="J214" i="1"/>
  <c r="I214" i="1"/>
  <c r="Q212" i="1"/>
  <c r="P212" i="1"/>
  <c r="O212" i="1"/>
  <c r="N212" i="1"/>
  <c r="M212" i="1"/>
  <c r="L212" i="1"/>
  <c r="K212" i="1"/>
  <c r="J212" i="1"/>
  <c r="I212" i="1"/>
  <c r="Q211" i="1"/>
  <c r="P211" i="1"/>
  <c r="O211" i="1"/>
  <c r="N211" i="1"/>
  <c r="M211" i="1"/>
  <c r="L211" i="1"/>
  <c r="K211" i="1"/>
  <c r="J211" i="1"/>
  <c r="I211" i="1"/>
  <c r="Q210" i="1"/>
  <c r="P210" i="1"/>
  <c r="O210" i="1"/>
  <c r="N210" i="1"/>
  <c r="M210" i="1"/>
  <c r="L210" i="1"/>
  <c r="K210" i="1"/>
  <c r="J210" i="1"/>
  <c r="I210" i="1"/>
  <c r="Q209" i="1"/>
  <c r="P209" i="1"/>
  <c r="O209" i="1"/>
  <c r="N209" i="1"/>
  <c r="M209" i="1"/>
  <c r="L209" i="1"/>
  <c r="K209" i="1"/>
  <c r="J209" i="1"/>
  <c r="I209" i="1"/>
  <c r="Q208" i="1"/>
  <c r="P208" i="1"/>
  <c r="O208" i="1"/>
  <c r="N208" i="1"/>
  <c r="M208" i="1"/>
  <c r="L208" i="1"/>
  <c r="K208" i="1"/>
  <c r="J208" i="1"/>
  <c r="I208" i="1"/>
  <c r="Q207" i="1"/>
  <c r="P207" i="1"/>
  <c r="O207" i="1"/>
  <c r="N207" i="1"/>
  <c r="M207" i="1"/>
  <c r="L207" i="1"/>
  <c r="K207" i="1"/>
  <c r="J207" i="1"/>
  <c r="I207" i="1"/>
  <c r="H207" i="1"/>
  <c r="Q206" i="1"/>
  <c r="P206" i="1"/>
  <c r="O206" i="1"/>
  <c r="N206" i="1"/>
  <c r="M206" i="1"/>
  <c r="L206" i="1"/>
  <c r="K206" i="1"/>
  <c r="J206" i="1"/>
  <c r="I206" i="1"/>
  <c r="Q205" i="1"/>
  <c r="P205" i="1"/>
  <c r="O205" i="1"/>
  <c r="N205" i="1"/>
  <c r="M205" i="1"/>
  <c r="L205" i="1"/>
  <c r="K205" i="1"/>
  <c r="J205" i="1"/>
  <c r="I205" i="1"/>
  <c r="H205" i="1"/>
  <c r="Q204" i="1"/>
  <c r="P204" i="1"/>
  <c r="O204" i="1"/>
  <c r="N204" i="1"/>
  <c r="M204" i="1"/>
  <c r="L204" i="1"/>
  <c r="K204" i="1"/>
  <c r="J204" i="1"/>
  <c r="I204" i="1"/>
  <c r="Q203" i="1"/>
  <c r="P203" i="1"/>
  <c r="O203" i="1"/>
  <c r="N203" i="1"/>
  <c r="M203" i="1"/>
  <c r="L203" i="1"/>
  <c r="K203" i="1"/>
  <c r="J203" i="1"/>
  <c r="I203" i="1"/>
  <c r="H203" i="1"/>
  <c r="Q202" i="1"/>
  <c r="P202" i="1"/>
  <c r="O202" i="1"/>
  <c r="N202" i="1"/>
  <c r="M202" i="1"/>
  <c r="L202" i="1"/>
  <c r="K202" i="1"/>
  <c r="J202" i="1"/>
  <c r="I202" i="1"/>
  <c r="Q201" i="1"/>
  <c r="P201" i="1"/>
  <c r="O201" i="1"/>
  <c r="N201" i="1"/>
  <c r="M201" i="1"/>
  <c r="L201" i="1"/>
  <c r="K201" i="1"/>
  <c r="J201" i="1"/>
  <c r="I201" i="1"/>
  <c r="H201" i="1"/>
  <c r="Q200" i="1"/>
  <c r="P200" i="1"/>
  <c r="O200" i="1"/>
  <c r="N200" i="1"/>
  <c r="M200" i="1"/>
  <c r="L200" i="1"/>
  <c r="K200" i="1"/>
  <c r="J200" i="1"/>
  <c r="I200" i="1"/>
  <c r="Q199" i="1"/>
  <c r="P199" i="1"/>
  <c r="O199" i="1"/>
  <c r="N199" i="1"/>
  <c r="M199" i="1"/>
  <c r="L199" i="1"/>
  <c r="K199" i="1"/>
  <c r="J199" i="1"/>
  <c r="I199" i="1"/>
  <c r="H199" i="1"/>
  <c r="Q198" i="1"/>
  <c r="P198" i="1"/>
  <c r="O198" i="1"/>
  <c r="N198" i="1"/>
  <c r="M198" i="1"/>
  <c r="L198" i="1"/>
  <c r="K198" i="1"/>
  <c r="J198" i="1"/>
  <c r="I198" i="1"/>
  <c r="Q196" i="1"/>
  <c r="P196" i="1"/>
  <c r="O196" i="1"/>
  <c r="N196" i="1"/>
  <c r="M196" i="1"/>
  <c r="L196" i="1"/>
  <c r="K196" i="1"/>
  <c r="J196" i="1"/>
  <c r="I196" i="1"/>
  <c r="Q195" i="1"/>
  <c r="P195" i="1"/>
  <c r="O195" i="1"/>
  <c r="N195" i="1"/>
  <c r="M195" i="1"/>
  <c r="L195" i="1"/>
  <c r="K195" i="1"/>
  <c r="J195" i="1"/>
  <c r="I195" i="1"/>
  <c r="Q194" i="1"/>
  <c r="P194" i="1"/>
  <c r="O194" i="1"/>
  <c r="N194" i="1"/>
  <c r="M194" i="1"/>
  <c r="L194" i="1"/>
  <c r="K194" i="1"/>
  <c r="J194" i="1"/>
  <c r="I194" i="1"/>
  <c r="Q193" i="1"/>
  <c r="P193" i="1"/>
  <c r="O193" i="1"/>
  <c r="N193" i="1"/>
  <c r="M193" i="1"/>
  <c r="L193" i="1"/>
  <c r="K193" i="1"/>
  <c r="J193" i="1"/>
  <c r="I193" i="1"/>
  <c r="H187" i="1"/>
  <c r="Q186" i="1"/>
  <c r="P186" i="1"/>
  <c r="O186" i="1"/>
  <c r="N186" i="1"/>
  <c r="M186" i="1"/>
  <c r="L186" i="1"/>
  <c r="K186" i="1"/>
  <c r="J186" i="1"/>
  <c r="I186" i="1"/>
  <c r="Q184" i="1"/>
  <c r="P184" i="1"/>
  <c r="O184" i="1"/>
  <c r="N184" i="1"/>
  <c r="M184" i="1"/>
  <c r="L184" i="1"/>
  <c r="K184" i="1"/>
  <c r="J184" i="1"/>
  <c r="I184" i="1"/>
  <c r="O183" i="1"/>
  <c r="I183" i="1"/>
  <c r="Q182" i="1"/>
  <c r="P182" i="1"/>
  <c r="O182" i="1"/>
  <c r="N182" i="1"/>
  <c r="M182" i="1"/>
  <c r="L182" i="1"/>
  <c r="K182" i="1"/>
  <c r="J182" i="1"/>
  <c r="I182" i="1"/>
  <c r="H182" i="1"/>
  <c r="Q181" i="1"/>
  <c r="P181" i="1"/>
  <c r="O181" i="1"/>
  <c r="N181" i="1"/>
  <c r="M181" i="1"/>
  <c r="L181" i="1"/>
  <c r="K181" i="1"/>
  <c r="J181" i="1"/>
  <c r="I181" i="1"/>
  <c r="Q180" i="1"/>
  <c r="P180" i="1"/>
  <c r="O180" i="1"/>
  <c r="N180" i="1"/>
  <c r="M180" i="1"/>
  <c r="L180" i="1"/>
  <c r="K180" i="1"/>
  <c r="J180" i="1"/>
  <c r="I180" i="1"/>
  <c r="H180" i="1"/>
  <c r="Q179" i="1"/>
  <c r="P179" i="1"/>
  <c r="O179" i="1"/>
  <c r="N179" i="1"/>
  <c r="M179" i="1"/>
  <c r="L179" i="1"/>
  <c r="K179" i="1"/>
  <c r="J179" i="1"/>
  <c r="I179" i="1"/>
  <c r="Q178" i="1"/>
  <c r="P178" i="1"/>
  <c r="O178" i="1"/>
  <c r="N178" i="1"/>
  <c r="M178" i="1"/>
  <c r="L178" i="1"/>
  <c r="K178" i="1"/>
  <c r="J178" i="1"/>
  <c r="I178" i="1"/>
  <c r="H178" i="1"/>
  <c r="Q177" i="1"/>
  <c r="P177" i="1"/>
  <c r="O177" i="1"/>
  <c r="N177" i="1"/>
  <c r="M177" i="1"/>
  <c r="L177" i="1"/>
  <c r="K177" i="1"/>
  <c r="J177" i="1"/>
  <c r="I177" i="1"/>
  <c r="Q176" i="1"/>
  <c r="P176" i="1"/>
  <c r="O176" i="1"/>
  <c r="N176" i="1"/>
  <c r="M176" i="1"/>
  <c r="L176" i="1"/>
  <c r="K176" i="1"/>
  <c r="J176" i="1"/>
  <c r="I176" i="1"/>
  <c r="H176" i="1"/>
  <c r="Q175" i="1"/>
  <c r="P175" i="1"/>
  <c r="O175" i="1"/>
  <c r="N175" i="1"/>
  <c r="M175" i="1"/>
  <c r="L175" i="1"/>
  <c r="K175" i="1"/>
  <c r="J175" i="1"/>
  <c r="I175" i="1"/>
  <c r="Q174" i="1"/>
  <c r="P174" i="1"/>
  <c r="O174" i="1"/>
  <c r="N174" i="1"/>
  <c r="M174" i="1"/>
  <c r="L174" i="1"/>
  <c r="K174" i="1"/>
  <c r="J174" i="1"/>
  <c r="I174" i="1"/>
  <c r="H174" i="1"/>
  <c r="Q173" i="1"/>
  <c r="P173" i="1"/>
  <c r="O173" i="1"/>
  <c r="N173" i="1"/>
  <c r="M173" i="1"/>
  <c r="L173" i="1"/>
  <c r="K173" i="1"/>
  <c r="J173" i="1"/>
  <c r="I173" i="1"/>
  <c r="Q172" i="1"/>
  <c r="P172" i="1"/>
  <c r="O172" i="1"/>
  <c r="N172" i="1"/>
  <c r="M172" i="1"/>
  <c r="L172" i="1"/>
  <c r="K172" i="1"/>
  <c r="J172" i="1"/>
  <c r="I172" i="1"/>
  <c r="H172" i="1"/>
  <c r="Q171" i="1"/>
  <c r="P171" i="1"/>
  <c r="O171" i="1"/>
  <c r="N171" i="1"/>
  <c r="M171" i="1"/>
  <c r="L171" i="1"/>
  <c r="K171" i="1"/>
  <c r="J171" i="1"/>
  <c r="I171" i="1"/>
  <c r="Q170" i="1"/>
  <c r="P170" i="1"/>
  <c r="O170" i="1"/>
  <c r="N170" i="1"/>
  <c r="M170" i="1"/>
  <c r="L170" i="1"/>
  <c r="K170" i="1"/>
  <c r="J170" i="1"/>
  <c r="I170" i="1"/>
  <c r="H170" i="1"/>
  <c r="Q169" i="1"/>
  <c r="P169" i="1"/>
  <c r="O169" i="1"/>
  <c r="N169" i="1"/>
  <c r="M169" i="1"/>
  <c r="L169" i="1"/>
  <c r="K169" i="1"/>
  <c r="J169" i="1"/>
  <c r="I169" i="1"/>
  <c r="Q168" i="1"/>
  <c r="P168" i="1"/>
  <c r="O168" i="1"/>
  <c r="N168" i="1"/>
  <c r="M168" i="1"/>
  <c r="L168" i="1"/>
  <c r="K168" i="1"/>
  <c r="J168" i="1"/>
  <c r="I168" i="1"/>
  <c r="H168" i="1"/>
  <c r="Q167" i="1"/>
  <c r="P167" i="1"/>
  <c r="O167" i="1"/>
  <c r="N167" i="1"/>
  <c r="M167" i="1"/>
  <c r="L167" i="1"/>
  <c r="K167" i="1"/>
  <c r="J167" i="1"/>
  <c r="I167" i="1"/>
  <c r="Q166" i="1"/>
  <c r="P166" i="1"/>
  <c r="O166" i="1"/>
  <c r="N166" i="1"/>
  <c r="M166" i="1"/>
  <c r="L166" i="1"/>
  <c r="K166" i="1"/>
  <c r="J166" i="1"/>
  <c r="I166" i="1"/>
  <c r="H166" i="1"/>
  <c r="Q165" i="1"/>
  <c r="P165" i="1"/>
  <c r="O165" i="1"/>
  <c r="N165" i="1"/>
  <c r="M165" i="1"/>
  <c r="L165" i="1"/>
  <c r="K165" i="1"/>
  <c r="J165" i="1"/>
  <c r="I165" i="1"/>
  <c r="Q164" i="1"/>
  <c r="P164" i="1"/>
  <c r="O164" i="1"/>
  <c r="N164" i="1"/>
  <c r="M164" i="1"/>
  <c r="L164" i="1"/>
  <c r="K164" i="1"/>
  <c r="J164" i="1"/>
  <c r="I164" i="1"/>
  <c r="H164" i="1"/>
  <c r="Q163" i="1"/>
  <c r="P163" i="1"/>
  <c r="O163" i="1"/>
  <c r="N163" i="1"/>
  <c r="M163" i="1"/>
  <c r="L163" i="1"/>
  <c r="K163" i="1"/>
  <c r="J163" i="1"/>
  <c r="I163" i="1"/>
  <c r="H163" i="1"/>
  <c r="Q162" i="1"/>
  <c r="P162" i="1"/>
  <c r="O162" i="1"/>
  <c r="N162" i="1"/>
  <c r="M162" i="1"/>
  <c r="L162" i="1"/>
  <c r="K162" i="1"/>
  <c r="J162" i="1"/>
  <c r="I162" i="1"/>
  <c r="Q161" i="1"/>
  <c r="P161" i="1"/>
  <c r="O161" i="1"/>
  <c r="N161" i="1"/>
  <c r="M161" i="1"/>
  <c r="L161" i="1"/>
  <c r="K161" i="1"/>
  <c r="J161" i="1"/>
  <c r="I161" i="1"/>
  <c r="Q160" i="1"/>
  <c r="P160" i="1"/>
  <c r="O160" i="1"/>
  <c r="N160" i="1"/>
  <c r="M160" i="1"/>
  <c r="L160" i="1"/>
  <c r="K160" i="1"/>
  <c r="J160" i="1"/>
  <c r="I160" i="1"/>
  <c r="Q159" i="1"/>
  <c r="P159" i="1"/>
  <c r="O159" i="1"/>
  <c r="N159" i="1"/>
  <c r="M159" i="1"/>
  <c r="L159" i="1"/>
  <c r="K159" i="1"/>
  <c r="J159" i="1"/>
  <c r="I159" i="1"/>
  <c r="Q158" i="1"/>
  <c r="P158" i="1"/>
  <c r="O158" i="1"/>
  <c r="N158" i="1"/>
  <c r="M158" i="1"/>
  <c r="L158" i="1"/>
  <c r="K158" i="1"/>
  <c r="J158" i="1"/>
  <c r="I158" i="1"/>
  <c r="Q157" i="1"/>
  <c r="P157" i="1"/>
  <c r="O157" i="1"/>
  <c r="N157" i="1"/>
  <c r="M157" i="1"/>
  <c r="L157" i="1"/>
  <c r="K157" i="1"/>
  <c r="J157" i="1"/>
  <c r="I157" i="1"/>
  <c r="Q156" i="1"/>
  <c r="P156" i="1"/>
  <c r="O156" i="1"/>
  <c r="N156" i="1"/>
  <c r="M156" i="1"/>
  <c r="L156" i="1"/>
  <c r="K156" i="1"/>
  <c r="J156" i="1"/>
  <c r="I156" i="1"/>
  <c r="Q155" i="1"/>
  <c r="P155" i="1"/>
  <c r="O155" i="1"/>
  <c r="N155" i="1"/>
  <c r="M155" i="1"/>
  <c r="L155" i="1"/>
  <c r="K155" i="1"/>
  <c r="J155" i="1"/>
  <c r="I155" i="1"/>
  <c r="Q154" i="1"/>
  <c r="P154" i="1"/>
  <c r="O154" i="1"/>
  <c r="N154" i="1"/>
  <c r="M154" i="1"/>
  <c r="L154" i="1"/>
  <c r="K154" i="1"/>
  <c r="J154" i="1"/>
  <c r="I154" i="1"/>
  <c r="Q153" i="1"/>
  <c r="P153" i="1"/>
  <c r="O153" i="1"/>
  <c r="N153" i="1"/>
  <c r="M153" i="1"/>
  <c r="L153" i="1"/>
  <c r="K153" i="1"/>
  <c r="J153" i="1"/>
  <c r="I153" i="1"/>
  <c r="Q152" i="1"/>
  <c r="P152" i="1"/>
  <c r="O152" i="1"/>
  <c r="N152" i="1"/>
  <c r="M152" i="1"/>
  <c r="L152" i="1"/>
  <c r="K152" i="1"/>
  <c r="J152" i="1"/>
  <c r="I152" i="1"/>
  <c r="Q151" i="1"/>
  <c r="P151" i="1"/>
  <c r="O151" i="1"/>
  <c r="N151" i="1"/>
  <c r="M151" i="1"/>
  <c r="L151" i="1"/>
  <c r="K151" i="1"/>
  <c r="J151" i="1"/>
  <c r="I151" i="1"/>
  <c r="H151" i="1"/>
  <c r="Q150" i="1"/>
  <c r="P150" i="1"/>
  <c r="O150" i="1"/>
  <c r="N150" i="1"/>
  <c r="M150" i="1"/>
  <c r="L150" i="1"/>
  <c r="K150" i="1"/>
  <c r="J150" i="1"/>
  <c r="I150" i="1"/>
  <c r="Q149" i="1"/>
  <c r="P149" i="1"/>
  <c r="O149" i="1"/>
  <c r="N149" i="1"/>
  <c r="M149" i="1"/>
  <c r="L149" i="1"/>
  <c r="K149" i="1"/>
  <c r="J149" i="1"/>
  <c r="I149" i="1"/>
  <c r="Q148" i="1"/>
  <c r="P148" i="1"/>
  <c r="O148" i="1"/>
  <c r="N148" i="1"/>
  <c r="M148" i="1"/>
  <c r="L148" i="1"/>
  <c r="K148" i="1"/>
  <c r="J148" i="1"/>
  <c r="I148" i="1"/>
  <c r="Q147" i="1"/>
  <c r="P147" i="1"/>
  <c r="O147" i="1"/>
  <c r="N147" i="1"/>
  <c r="M147" i="1"/>
  <c r="L147" i="1"/>
  <c r="K147" i="1"/>
  <c r="J147" i="1"/>
  <c r="I147" i="1"/>
  <c r="Q144" i="1"/>
  <c r="P144" i="1"/>
  <c r="O144" i="1"/>
  <c r="N144" i="1"/>
  <c r="M144" i="1"/>
  <c r="L144" i="1"/>
  <c r="K144" i="1"/>
  <c r="J144" i="1"/>
  <c r="I144" i="1"/>
  <c r="H144" i="1"/>
  <c r="Q141" i="1"/>
  <c r="P141" i="1"/>
  <c r="O141" i="1"/>
  <c r="N141" i="1"/>
  <c r="M141" i="1"/>
  <c r="L141" i="1"/>
  <c r="K141" i="1"/>
  <c r="J141" i="1"/>
  <c r="I141" i="1"/>
  <c r="H141" i="1"/>
  <c r="Q139" i="1"/>
  <c r="P139" i="1"/>
  <c r="O139" i="1"/>
  <c r="N139" i="1"/>
  <c r="M139" i="1"/>
  <c r="L139" i="1"/>
  <c r="K139" i="1"/>
  <c r="J139" i="1"/>
  <c r="I139" i="1"/>
  <c r="H138" i="1"/>
  <c r="Q136" i="1"/>
  <c r="P136" i="1"/>
  <c r="O136" i="1"/>
  <c r="N136" i="1"/>
  <c r="M136" i="1"/>
  <c r="L136" i="1"/>
  <c r="K136" i="1"/>
  <c r="J136" i="1"/>
  <c r="I136" i="1"/>
  <c r="Q135" i="1"/>
  <c r="P135" i="1"/>
  <c r="O135" i="1"/>
  <c r="N135" i="1"/>
  <c r="M135" i="1"/>
  <c r="L135" i="1"/>
  <c r="K135" i="1"/>
  <c r="J135" i="1"/>
  <c r="I135" i="1"/>
  <c r="Q134" i="1"/>
  <c r="P134" i="1"/>
  <c r="O134" i="1"/>
  <c r="N134" i="1"/>
  <c r="M134" i="1"/>
  <c r="L134" i="1"/>
  <c r="K134" i="1"/>
  <c r="J134" i="1"/>
  <c r="I134" i="1"/>
  <c r="Q133" i="1"/>
  <c r="P133" i="1"/>
  <c r="O133" i="1"/>
  <c r="N133" i="1"/>
  <c r="M133" i="1"/>
  <c r="L133" i="1"/>
  <c r="K133" i="1"/>
  <c r="J133" i="1"/>
  <c r="I133" i="1"/>
  <c r="Q132" i="1"/>
  <c r="P132" i="1"/>
  <c r="O132" i="1"/>
  <c r="N132" i="1"/>
  <c r="M132" i="1"/>
  <c r="L132" i="1"/>
  <c r="K132" i="1"/>
  <c r="J132" i="1"/>
  <c r="I132" i="1"/>
  <c r="Q131" i="1"/>
  <c r="P131" i="1"/>
  <c r="O131" i="1"/>
  <c r="N131" i="1"/>
  <c r="M131" i="1"/>
  <c r="L131" i="1"/>
  <c r="K131" i="1"/>
  <c r="J131" i="1"/>
  <c r="I131" i="1"/>
  <c r="Q130" i="1"/>
  <c r="P130" i="1"/>
  <c r="O130" i="1"/>
  <c r="N130" i="1"/>
  <c r="M130" i="1"/>
  <c r="L130" i="1"/>
  <c r="K130" i="1"/>
  <c r="J130" i="1"/>
  <c r="I130" i="1"/>
  <c r="Q129" i="1"/>
  <c r="P129" i="1"/>
  <c r="O129" i="1"/>
  <c r="N129" i="1"/>
  <c r="M129" i="1"/>
  <c r="L129" i="1"/>
  <c r="K129" i="1"/>
  <c r="J129" i="1"/>
  <c r="I129" i="1"/>
  <c r="H129" i="1"/>
  <c r="Q128" i="1"/>
  <c r="P128" i="1"/>
  <c r="O128" i="1"/>
  <c r="N128" i="1"/>
  <c r="M128" i="1"/>
  <c r="L128" i="1"/>
  <c r="K128" i="1"/>
  <c r="J128" i="1"/>
  <c r="I128" i="1"/>
  <c r="Q127" i="1"/>
  <c r="P127" i="1"/>
  <c r="O127" i="1"/>
  <c r="N127" i="1"/>
  <c r="M127" i="1"/>
  <c r="L127" i="1"/>
  <c r="K127" i="1"/>
  <c r="J127" i="1"/>
  <c r="I127" i="1"/>
  <c r="H127" i="1"/>
  <c r="Q126" i="1"/>
  <c r="P126" i="1"/>
  <c r="O126" i="1"/>
  <c r="N126" i="1"/>
  <c r="M126" i="1"/>
  <c r="L126" i="1"/>
  <c r="K126" i="1"/>
  <c r="J126" i="1"/>
  <c r="I126" i="1"/>
  <c r="Q125" i="1"/>
  <c r="P125" i="1"/>
  <c r="O125" i="1"/>
  <c r="N125" i="1"/>
  <c r="M125" i="1"/>
  <c r="L125" i="1"/>
  <c r="K125" i="1"/>
  <c r="J125" i="1"/>
  <c r="I125" i="1"/>
  <c r="H125" i="1"/>
  <c r="Q124" i="1"/>
  <c r="P124" i="1"/>
  <c r="O124" i="1"/>
  <c r="N124" i="1"/>
  <c r="M124" i="1"/>
  <c r="L124" i="1"/>
  <c r="K124" i="1"/>
  <c r="J124" i="1"/>
  <c r="I124" i="1"/>
  <c r="Q123" i="1"/>
  <c r="P123" i="1"/>
  <c r="O123" i="1"/>
  <c r="N123" i="1"/>
  <c r="M123" i="1"/>
  <c r="L123" i="1"/>
  <c r="K123" i="1"/>
  <c r="J123" i="1"/>
  <c r="I123" i="1"/>
  <c r="H123" i="1"/>
  <c r="Q122" i="1"/>
  <c r="P122" i="1"/>
  <c r="O122" i="1"/>
  <c r="N122" i="1"/>
  <c r="M122" i="1"/>
  <c r="L122" i="1"/>
  <c r="K122" i="1"/>
  <c r="J122" i="1"/>
  <c r="I122" i="1"/>
  <c r="Q121" i="1"/>
  <c r="P121" i="1"/>
  <c r="O121" i="1"/>
  <c r="N121" i="1"/>
  <c r="M121" i="1"/>
  <c r="L121" i="1"/>
  <c r="K121" i="1"/>
  <c r="J121" i="1"/>
  <c r="I121" i="1"/>
  <c r="H121" i="1"/>
  <c r="Q120" i="1"/>
  <c r="P120" i="1"/>
  <c r="O120" i="1"/>
  <c r="N120" i="1"/>
  <c r="M120" i="1"/>
  <c r="L120" i="1"/>
  <c r="K120" i="1"/>
  <c r="J120" i="1"/>
  <c r="I120" i="1"/>
  <c r="Q119" i="1"/>
  <c r="P119" i="1"/>
  <c r="O119" i="1"/>
  <c r="N119" i="1"/>
  <c r="M119" i="1"/>
  <c r="L119" i="1"/>
  <c r="K119" i="1"/>
  <c r="J119" i="1"/>
  <c r="I119" i="1"/>
  <c r="H119" i="1"/>
  <c r="Q118" i="1"/>
  <c r="P118" i="1"/>
  <c r="O118" i="1"/>
  <c r="N118" i="1"/>
  <c r="M118" i="1"/>
  <c r="L118" i="1"/>
  <c r="K118" i="1"/>
  <c r="J118" i="1"/>
  <c r="I118" i="1"/>
  <c r="Q117" i="1"/>
  <c r="P117" i="1"/>
  <c r="O117" i="1"/>
  <c r="N117" i="1"/>
  <c r="M117" i="1"/>
  <c r="L117" i="1"/>
  <c r="K117" i="1"/>
  <c r="J117" i="1"/>
  <c r="I117" i="1"/>
  <c r="H117" i="1"/>
  <c r="L116" i="1"/>
  <c r="J116" i="1"/>
  <c r="H116" i="1"/>
  <c r="Q115" i="1"/>
  <c r="P115" i="1"/>
  <c r="O115" i="1"/>
  <c r="N115" i="1"/>
  <c r="M115" i="1"/>
  <c r="L115" i="1"/>
  <c r="K115" i="1"/>
  <c r="J115" i="1"/>
  <c r="I115" i="1"/>
  <c r="Q114" i="1"/>
  <c r="P114" i="1"/>
  <c r="O114" i="1"/>
  <c r="N114" i="1"/>
  <c r="M114" i="1"/>
  <c r="L114" i="1"/>
  <c r="K114" i="1"/>
  <c r="J114" i="1"/>
  <c r="I114" i="1"/>
  <c r="Q113" i="1"/>
  <c r="P113" i="1"/>
  <c r="O113" i="1"/>
  <c r="N113" i="1"/>
  <c r="M113" i="1"/>
  <c r="L113" i="1"/>
  <c r="K113" i="1"/>
  <c r="J113" i="1"/>
  <c r="I113" i="1"/>
  <c r="Q112" i="1"/>
  <c r="P112" i="1"/>
  <c r="O112" i="1"/>
  <c r="N112" i="1"/>
  <c r="M112" i="1"/>
  <c r="L112" i="1"/>
  <c r="K112" i="1"/>
  <c r="J112" i="1"/>
  <c r="I112" i="1"/>
  <c r="Q111" i="1"/>
  <c r="P111" i="1"/>
  <c r="O111" i="1"/>
  <c r="N111" i="1"/>
  <c r="M111" i="1"/>
  <c r="L111" i="1"/>
  <c r="K111" i="1"/>
  <c r="J111" i="1"/>
  <c r="I111" i="1"/>
  <c r="Q110" i="1"/>
  <c r="P110" i="1"/>
  <c r="O110" i="1"/>
  <c r="N110" i="1"/>
  <c r="M110" i="1"/>
  <c r="L110" i="1"/>
  <c r="K110" i="1"/>
  <c r="J110" i="1"/>
  <c r="I110" i="1"/>
  <c r="Q109" i="1"/>
  <c r="P109" i="1"/>
  <c r="O109" i="1"/>
  <c r="N109" i="1"/>
  <c r="M109" i="1"/>
  <c r="L109" i="1"/>
  <c r="K109" i="1"/>
  <c r="J109" i="1"/>
  <c r="I109" i="1"/>
  <c r="Q108" i="1"/>
  <c r="P108" i="1"/>
  <c r="O108" i="1"/>
  <c r="N108" i="1"/>
  <c r="M108" i="1"/>
  <c r="L108" i="1"/>
  <c r="K108" i="1"/>
  <c r="J108" i="1"/>
  <c r="I108" i="1"/>
  <c r="Q107" i="1"/>
  <c r="P107" i="1"/>
  <c r="O107" i="1"/>
  <c r="N107" i="1"/>
  <c r="M107" i="1"/>
  <c r="L107" i="1"/>
  <c r="K107" i="1"/>
  <c r="J107" i="1"/>
  <c r="I107" i="1"/>
  <c r="Q106" i="1"/>
  <c r="P106" i="1"/>
  <c r="O106" i="1"/>
  <c r="N106" i="1"/>
  <c r="M106" i="1"/>
  <c r="L106" i="1"/>
  <c r="K106" i="1"/>
  <c r="J106" i="1"/>
  <c r="I106" i="1"/>
  <c r="Q105" i="1"/>
  <c r="P105" i="1"/>
  <c r="O105" i="1"/>
  <c r="N105" i="1"/>
  <c r="M105" i="1"/>
  <c r="L105" i="1"/>
  <c r="K105" i="1"/>
  <c r="J105" i="1"/>
  <c r="I105" i="1"/>
  <c r="Q104" i="1"/>
  <c r="P104" i="1"/>
  <c r="O104" i="1"/>
  <c r="N104" i="1"/>
  <c r="M104" i="1"/>
  <c r="L104" i="1"/>
  <c r="K104" i="1"/>
  <c r="J104" i="1"/>
  <c r="I104" i="1"/>
  <c r="Q103" i="1"/>
  <c r="P103" i="1"/>
  <c r="O103" i="1"/>
  <c r="N103" i="1"/>
  <c r="M103" i="1"/>
  <c r="L103" i="1"/>
  <c r="K103" i="1"/>
  <c r="J103" i="1"/>
  <c r="I103" i="1"/>
  <c r="Q102" i="1"/>
  <c r="P102" i="1"/>
  <c r="O102" i="1"/>
  <c r="N102" i="1"/>
  <c r="M102" i="1"/>
  <c r="L102" i="1"/>
  <c r="K102" i="1"/>
  <c r="J102" i="1"/>
  <c r="I102" i="1"/>
  <c r="Q101" i="1"/>
  <c r="N101" i="1"/>
  <c r="M101" i="1"/>
  <c r="L101" i="1"/>
  <c r="K101" i="1"/>
  <c r="J101" i="1"/>
  <c r="I101" i="1"/>
  <c r="H98" i="1"/>
  <c r="Q97" i="1"/>
  <c r="P97" i="1"/>
  <c r="O97" i="1"/>
  <c r="N97" i="1"/>
  <c r="M97" i="1"/>
  <c r="L97" i="1"/>
  <c r="K97" i="1"/>
  <c r="J97" i="1"/>
  <c r="I97" i="1"/>
  <c r="Q96" i="1"/>
  <c r="P96" i="1"/>
  <c r="O96" i="1"/>
  <c r="N96" i="1"/>
  <c r="M96" i="1"/>
  <c r="L96" i="1"/>
  <c r="K96" i="1"/>
  <c r="J96" i="1"/>
  <c r="I96" i="1"/>
  <c r="H96" i="1"/>
  <c r="Q95" i="1"/>
  <c r="P95" i="1"/>
  <c r="O95" i="1"/>
  <c r="N95" i="1"/>
  <c r="M95" i="1"/>
  <c r="L95" i="1"/>
  <c r="K95" i="1"/>
  <c r="J95" i="1"/>
  <c r="I95" i="1"/>
  <c r="Q94" i="1"/>
  <c r="P94" i="1"/>
  <c r="O94" i="1"/>
  <c r="N94" i="1"/>
  <c r="M94" i="1"/>
  <c r="L94" i="1"/>
  <c r="K94" i="1"/>
  <c r="J94" i="1"/>
  <c r="I94" i="1"/>
  <c r="H94" i="1"/>
  <c r="Q93" i="1"/>
  <c r="P93" i="1"/>
  <c r="O93" i="1"/>
  <c r="N93" i="1"/>
  <c r="M93" i="1"/>
  <c r="L93" i="1"/>
  <c r="N92" i="1"/>
  <c r="K92" i="1"/>
  <c r="J92" i="1"/>
  <c r="I92" i="1"/>
  <c r="Q90" i="1"/>
  <c r="P90" i="1"/>
  <c r="O90" i="1"/>
  <c r="N90" i="1"/>
  <c r="M90" i="1"/>
  <c r="L90" i="1"/>
  <c r="K90" i="1"/>
  <c r="J90" i="1"/>
  <c r="I90" i="1"/>
  <c r="N89" i="1"/>
  <c r="M89" i="1"/>
  <c r="L89" i="1"/>
  <c r="K89" i="1"/>
  <c r="J89" i="1"/>
  <c r="I89" i="1"/>
  <c r="Q88" i="1"/>
  <c r="P88" i="1"/>
  <c r="O88" i="1"/>
  <c r="N88" i="1"/>
  <c r="M88" i="1"/>
  <c r="L88" i="1"/>
  <c r="K88" i="1"/>
  <c r="J88" i="1"/>
  <c r="I88" i="1"/>
  <c r="Q87" i="1"/>
  <c r="P87" i="1"/>
  <c r="O87" i="1"/>
  <c r="N87" i="1"/>
  <c r="M87" i="1"/>
  <c r="L87" i="1"/>
  <c r="K87" i="1"/>
  <c r="J87" i="1"/>
  <c r="I87" i="1"/>
  <c r="Q86" i="1"/>
  <c r="P86" i="1"/>
  <c r="O86" i="1"/>
  <c r="N86" i="1"/>
  <c r="M86" i="1"/>
  <c r="L86" i="1"/>
  <c r="K86" i="1"/>
  <c r="J86" i="1"/>
  <c r="I86" i="1"/>
  <c r="Q85" i="1"/>
  <c r="P85" i="1"/>
  <c r="O85" i="1"/>
  <c r="N85" i="1"/>
  <c r="M85" i="1"/>
  <c r="L85" i="1"/>
  <c r="K85" i="1"/>
  <c r="J85" i="1"/>
  <c r="I85" i="1"/>
  <c r="Q84" i="1"/>
  <c r="P84" i="1"/>
  <c r="O84" i="1"/>
  <c r="N84" i="1"/>
  <c r="M84" i="1"/>
  <c r="L84" i="1"/>
  <c r="K84" i="1"/>
  <c r="J84" i="1"/>
  <c r="I84" i="1"/>
  <c r="Q83" i="1"/>
  <c r="P83" i="1"/>
  <c r="O83" i="1"/>
  <c r="N83" i="1"/>
  <c r="M83" i="1"/>
  <c r="L83" i="1"/>
  <c r="K83" i="1"/>
  <c r="J83" i="1"/>
  <c r="I83" i="1"/>
  <c r="H82" i="1"/>
  <c r="Q81" i="1"/>
  <c r="P81" i="1"/>
  <c r="O81" i="1"/>
  <c r="N81" i="1"/>
  <c r="M81" i="1"/>
  <c r="L81" i="1"/>
  <c r="K81" i="1"/>
  <c r="J81" i="1"/>
  <c r="I81" i="1"/>
  <c r="H79" i="1"/>
  <c r="Q77" i="1"/>
  <c r="P77" i="1"/>
  <c r="O77" i="1"/>
  <c r="N77" i="1"/>
  <c r="M77" i="1"/>
  <c r="L77" i="1"/>
  <c r="K77" i="1"/>
  <c r="J77" i="1"/>
  <c r="I77" i="1"/>
  <c r="Q76" i="1"/>
  <c r="P76" i="1"/>
  <c r="O76" i="1"/>
  <c r="N76" i="1"/>
  <c r="M76" i="1"/>
  <c r="L76" i="1"/>
  <c r="K76" i="1"/>
  <c r="J76" i="1"/>
  <c r="I76" i="1"/>
  <c r="Q75" i="1"/>
  <c r="P75" i="1"/>
  <c r="O75" i="1"/>
  <c r="N75" i="1"/>
  <c r="M75" i="1"/>
  <c r="L75" i="1"/>
  <c r="K75" i="1"/>
  <c r="J75" i="1"/>
  <c r="I75" i="1"/>
  <c r="Q74" i="1"/>
  <c r="P74" i="1"/>
  <c r="O74" i="1"/>
  <c r="N74" i="1"/>
  <c r="M74" i="1"/>
  <c r="L74" i="1"/>
  <c r="K74" i="1"/>
  <c r="J74" i="1"/>
  <c r="I74" i="1"/>
  <c r="Q73" i="1"/>
  <c r="P73" i="1"/>
  <c r="O73" i="1"/>
  <c r="N73" i="1"/>
  <c r="M73" i="1"/>
  <c r="L73" i="1"/>
  <c r="K73" i="1"/>
  <c r="J73" i="1"/>
  <c r="I73" i="1"/>
  <c r="H73" i="1"/>
  <c r="N72" i="1"/>
  <c r="K72" i="1"/>
  <c r="J72" i="1"/>
  <c r="I72" i="1"/>
  <c r="H72" i="1"/>
  <c r="Q71" i="1"/>
  <c r="P71" i="1"/>
  <c r="O71" i="1"/>
  <c r="N71" i="1"/>
  <c r="M71" i="1"/>
  <c r="L71" i="1"/>
  <c r="K71" i="1"/>
  <c r="J71" i="1"/>
  <c r="I71" i="1"/>
  <c r="Q70" i="1"/>
  <c r="P70" i="1"/>
  <c r="O70" i="1"/>
  <c r="N70" i="1"/>
  <c r="M70" i="1"/>
  <c r="L70" i="1"/>
  <c r="K70" i="1"/>
  <c r="J70" i="1"/>
  <c r="I70" i="1"/>
  <c r="H70" i="1"/>
  <c r="Q69" i="1"/>
  <c r="P69" i="1"/>
  <c r="N69" i="1"/>
  <c r="M69" i="1"/>
  <c r="L69" i="1"/>
  <c r="K69" i="1"/>
  <c r="J69" i="1"/>
  <c r="I69" i="1"/>
  <c r="H69" i="1"/>
  <c r="Q68" i="1"/>
  <c r="P68" i="1"/>
  <c r="O68" i="1"/>
  <c r="N68" i="1"/>
  <c r="M68" i="1"/>
  <c r="L68" i="1"/>
  <c r="K68" i="1"/>
  <c r="J68" i="1"/>
  <c r="I68" i="1"/>
  <c r="Q67" i="1"/>
  <c r="P67" i="1"/>
  <c r="O67" i="1"/>
  <c r="N67" i="1"/>
  <c r="M67" i="1"/>
  <c r="L67" i="1"/>
  <c r="K67" i="1"/>
  <c r="J67" i="1"/>
  <c r="I67" i="1"/>
  <c r="Q66" i="1"/>
  <c r="P66" i="1"/>
  <c r="O66" i="1"/>
  <c r="N66" i="1"/>
  <c r="M66" i="1"/>
  <c r="L66" i="1"/>
  <c r="K66" i="1"/>
  <c r="J66" i="1"/>
  <c r="I66" i="1"/>
  <c r="Q65" i="1"/>
  <c r="P65" i="1"/>
  <c r="O65" i="1"/>
  <c r="N65" i="1"/>
  <c r="M65" i="1"/>
  <c r="L65" i="1"/>
  <c r="K65" i="1"/>
  <c r="J65" i="1"/>
  <c r="I65" i="1"/>
  <c r="Q64" i="1"/>
  <c r="P64" i="1"/>
  <c r="O64" i="1"/>
  <c r="N64" i="1"/>
  <c r="M64" i="1"/>
  <c r="L64" i="1"/>
  <c r="K64" i="1"/>
  <c r="J64" i="1"/>
  <c r="I64" i="1"/>
  <c r="H64" i="1"/>
  <c r="Q63" i="1"/>
  <c r="P63" i="1"/>
  <c r="O63" i="1"/>
  <c r="N63" i="1"/>
  <c r="M63" i="1"/>
  <c r="L63" i="1"/>
  <c r="K63" i="1"/>
  <c r="J63" i="1"/>
  <c r="I63" i="1"/>
  <c r="Q62" i="1"/>
  <c r="P62" i="1"/>
  <c r="O62" i="1"/>
  <c r="N62" i="1"/>
  <c r="M62" i="1"/>
  <c r="L62" i="1"/>
  <c r="K62" i="1"/>
  <c r="J62" i="1"/>
  <c r="I62" i="1"/>
  <c r="H62" i="1"/>
  <c r="Q61" i="1"/>
  <c r="P61" i="1"/>
  <c r="O61" i="1"/>
  <c r="N61" i="1"/>
  <c r="M61" i="1"/>
  <c r="L61" i="1"/>
  <c r="K61" i="1"/>
  <c r="J61" i="1"/>
  <c r="I61" i="1"/>
  <c r="H60" i="1"/>
  <c r="H59" i="1"/>
  <c r="Q58" i="1"/>
  <c r="P58" i="1"/>
  <c r="O58" i="1"/>
  <c r="N58" i="1"/>
  <c r="M58" i="1"/>
  <c r="L58" i="1"/>
  <c r="K58" i="1"/>
  <c r="J58" i="1"/>
  <c r="I58" i="1"/>
  <c r="Q57" i="1"/>
  <c r="P57" i="1"/>
  <c r="O57" i="1"/>
  <c r="N57" i="1"/>
  <c r="M57" i="1"/>
  <c r="L57" i="1"/>
  <c r="K57" i="1"/>
  <c r="J57" i="1"/>
  <c r="I57" i="1"/>
  <c r="H57" i="1"/>
  <c r="Q56" i="1"/>
  <c r="P56" i="1"/>
  <c r="O56" i="1"/>
  <c r="N56" i="1"/>
  <c r="M56" i="1"/>
  <c r="L56" i="1"/>
  <c r="K56" i="1"/>
  <c r="J56" i="1"/>
  <c r="I56" i="1"/>
  <c r="Q55" i="1"/>
  <c r="P55" i="1"/>
  <c r="O55" i="1"/>
  <c r="N55" i="1"/>
  <c r="M55" i="1"/>
  <c r="L55" i="1"/>
  <c r="K55" i="1"/>
  <c r="J55" i="1"/>
  <c r="I55" i="1"/>
  <c r="H55" i="1"/>
  <c r="Q54" i="1"/>
  <c r="P54" i="1"/>
  <c r="O54" i="1"/>
  <c r="N54" i="1"/>
  <c r="M54" i="1"/>
  <c r="L54" i="1"/>
  <c r="K54" i="1"/>
  <c r="J54" i="1"/>
  <c r="I54" i="1"/>
  <c r="Q53" i="1"/>
  <c r="P53" i="1"/>
  <c r="O53" i="1"/>
  <c r="N53" i="1"/>
  <c r="M53" i="1"/>
  <c r="L53" i="1"/>
  <c r="K53" i="1"/>
  <c r="J53" i="1"/>
  <c r="I53" i="1"/>
  <c r="H53" i="1"/>
  <c r="Q52" i="1"/>
  <c r="P52" i="1"/>
  <c r="O52" i="1"/>
  <c r="N52" i="1"/>
  <c r="M52" i="1"/>
  <c r="L52" i="1"/>
  <c r="K52" i="1"/>
  <c r="J52" i="1"/>
  <c r="I52" i="1"/>
  <c r="Q51" i="1"/>
  <c r="P51" i="1"/>
  <c r="O51" i="1"/>
  <c r="N51" i="1"/>
  <c r="M51" i="1"/>
  <c r="L51" i="1"/>
  <c r="K51" i="1"/>
  <c r="J51" i="1"/>
  <c r="I51" i="1"/>
  <c r="H51" i="1"/>
  <c r="Q50" i="1"/>
  <c r="P50" i="1"/>
  <c r="O50" i="1"/>
  <c r="N50" i="1"/>
  <c r="M50" i="1"/>
  <c r="L50" i="1"/>
  <c r="K50" i="1"/>
  <c r="J50" i="1"/>
  <c r="I50" i="1"/>
  <c r="Q49" i="1"/>
  <c r="P49" i="1"/>
  <c r="O49" i="1"/>
  <c r="N49" i="1"/>
  <c r="M49" i="1"/>
  <c r="L49" i="1"/>
  <c r="K49" i="1"/>
  <c r="J49" i="1"/>
  <c r="I49" i="1"/>
  <c r="H49" i="1"/>
  <c r="Q48" i="1"/>
  <c r="P48" i="1"/>
  <c r="O48" i="1"/>
  <c r="N48" i="1"/>
  <c r="M48" i="1"/>
  <c r="L48" i="1"/>
  <c r="K48" i="1"/>
  <c r="J48" i="1"/>
  <c r="I48" i="1"/>
  <c r="Q47" i="1"/>
  <c r="P47" i="1"/>
  <c r="O47" i="1"/>
  <c r="N47" i="1"/>
  <c r="M47" i="1"/>
  <c r="L47" i="1"/>
  <c r="K47" i="1"/>
  <c r="J47" i="1"/>
  <c r="I47" i="1"/>
  <c r="H47" i="1"/>
  <c r="O44" i="1"/>
  <c r="O43" i="1"/>
  <c r="Q42" i="1"/>
  <c r="P42" i="1"/>
  <c r="O42" i="1"/>
  <c r="N42" i="1"/>
  <c r="M42" i="1"/>
  <c r="L42" i="1"/>
  <c r="K42" i="1"/>
  <c r="J42" i="1"/>
  <c r="I42" i="1"/>
  <c r="H42" i="1"/>
  <c r="Q41" i="1"/>
  <c r="P41" i="1"/>
  <c r="O41" i="1"/>
  <c r="N41" i="1"/>
  <c r="M41" i="1"/>
  <c r="L41" i="1"/>
  <c r="K41" i="1"/>
  <c r="J41" i="1"/>
  <c r="I41" i="1"/>
  <c r="Q40" i="1"/>
  <c r="P40" i="1"/>
  <c r="O40" i="1"/>
  <c r="N40" i="1"/>
  <c r="M40" i="1"/>
  <c r="L40" i="1"/>
  <c r="K40" i="1"/>
  <c r="J40" i="1"/>
  <c r="I40" i="1"/>
  <c r="H40" i="1"/>
  <c r="O39" i="1"/>
  <c r="Q38" i="1"/>
  <c r="P38" i="1"/>
  <c r="O38" i="1"/>
  <c r="N38" i="1"/>
  <c r="M38" i="1"/>
  <c r="L38" i="1"/>
  <c r="K38" i="1"/>
  <c r="J38" i="1"/>
  <c r="I38" i="1"/>
  <c r="H38" i="1"/>
  <c r="Q37" i="1"/>
  <c r="P37" i="1"/>
  <c r="O37" i="1"/>
  <c r="N37" i="1"/>
  <c r="M37" i="1"/>
  <c r="L37" i="1"/>
  <c r="K37" i="1"/>
  <c r="J37" i="1"/>
  <c r="I37" i="1"/>
  <c r="H37" i="1"/>
  <c r="Q36" i="1"/>
  <c r="P36" i="1"/>
  <c r="O36" i="1"/>
  <c r="N36" i="1"/>
  <c r="M36" i="1"/>
  <c r="L36" i="1"/>
  <c r="K36" i="1"/>
  <c r="J36" i="1"/>
  <c r="I36" i="1"/>
  <c r="Q35" i="1"/>
  <c r="P35" i="1"/>
  <c r="O35" i="1"/>
  <c r="N35" i="1"/>
  <c r="M35" i="1"/>
  <c r="L35" i="1"/>
  <c r="K35" i="1"/>
  <c r="J35" i="1"/>
  <c r="I35" i="1"/>
  <c r="H35" i="1"/>
  <c r="Q34" i="1"/>
  <c r="P34" i="1"/>
  <c r="O34" i="1"/>
  <c r="N34" i="1"/>
  <c r="M34" i="1"/>
  <c r="L34" i="1"/>
  <c r="K34" i="1"/>
  <c r="J34" i="1"/>
  <c r="I34" i="1"/>
  <c r="Q33" i="1"/>
  <c r="P33" i="1"/>
  <c r="O33" i="1"/>
  <c r="N33" i="1"/>
  <c r="M33" i="1"/>
  <c r="L33" i="1"/>
  <c r="K33" i="1"/>
  <c r="J33" i="1"/>
  <c r="I33" i="1"/>
  <c r="H33" i="1"/>
  <c r="Q32" i="1"/>
  <c r="P32" i="1"/>
  <c r="O32" i="1"/>
  <c r="N32" i="1"/>
  <c r="M32" i="1"/>
  <c r="L32" i="1"/>
  <c r="K32" i="1"/>
  <c r="J32" i="1"/>
  <c r="I32" i="1"/>
  <c r="Q31" i="1"/>
  <c r="P31" i="1"/>
  <c r="O31" i="1"/>
  <c r="N31" i="1"/>
  <c r="M31" i="1"/>
  <c r="L31" i="1"/>
  <c r="K31" i="1"/>
  <c r="J31" i="1"/>
  <c r="I31" i="1"/>
  <c r="Q30" i="1"/>
  <c r="P30" i="1"/>
  <c r="O30" i="1"/>
  <c r="N30" i="1"/>
  <c r="M30" i="1"/>
  <c r="L30" i="1"/>
  <c r="K30" i="1"/>
  <c r="J30" i="1"/>
  <c r="I30" i="1"/>
  <c r="Q29" i="1"/>
  <c r="P29" i="1"/>
  <c r="O29" i="1"/>
  <c r="N29" i="1"/>
  <c r="M29" i="1"/>
  <c r="L29" i="1"/>
  <c r="K29" i="1"/>
  <c r="J29" i="1"/>
  <c r="I29" i="1"/>
  <c r="Q28" i="1"/>
  <c r="P28" i="1"/>
  <c r="O28" i="1"/>
  <c r="N28" i="1"/>
  <c r="M28" i="1"/>
  <c r="L28" i="1"/>
  <c r="K28" i="1"/>
  <c r="J28" i="1"/>
  <c r="I28" i="1"/>
  <c r="Q27" i="1"/>
  <c r="P27" i="1"/>
  <c r="O27" i="1"/>
  <c r="N27" i="1"/>
  <c r="M27" i="1"/>
  <c r="L27" i="1"/>
  <c r="K27" i="1"/>
  <c r="J27" i="1"/>
  <c r="I27" i="1"/>
  <c r="Q26" i="1"/>
  <c r="P26" i="1"/>
  <c r="O26" i="1"/>
  <c r="N26" i="1"/>
  <c r="M26" i="1"/>
  <c r="L26" i="1"/>
  <c r="K26" i="1"/>
  <c r="J26" i="1"/>
  <c r="I26" i="1"/>
  <c r="Q25" i="1"/>
  <c r="P25" i="1"/>
  <c r="O25" i="1"/>
  <c r="N25" i="1"/>
  <c r="M25" i="1"/>
  <c r="L25" i="1"/>
  <c r="K25" i="1"/>
  <c r="J25" i="1"/>
  <c r="I25" i="1"/>
  <c r="Q24" i="1"/>
  <c r="P24" i="1"/>
  <c r="O24" i="1"/>
  <c r="N24" i="1"/>
  <c r="M24" i="1"/>
  <c r="L24" i="1"/>
  <c r="K24" i="1"/>
  <c r="J24" i="1"/>
  <c r="I24" i="1"/>
  <c r="Q23" i="1"/>
  <c r="P23" i="1"/>
  <c r="O23" i="1"/>
  <c r="N23" i="1"/>
  <c r="M23" i="1"/>
  <c r="L23" i="1"/>
  <c r="K23" i="1"/>
  <c r="J23" i="1"/>
  <c r="I23" i="1"/>
  <c r="Q22" i="1"/>
  <c r="P22" i="1"/>
  <c r="O22" i="1"/>
  <c r="N22" i="1"/>
  <c r="M22" i="1"/>
  <c r="L22" i="1"/>
  <c r="K22" i="1"/>
  <c r="J22" i="1"/>
  <c r="I22" i="1"/>
  <c r="Q21" i="1"/>
  <c r="P21" i="1"/>
  <c r="O21" i="1"/>
  <c r="N21" i="1"/>
  <c r="M21" i="1"/>
  <c r="L21" i="1"/>
  <c r="K21" i="1"/>
  <c r="J21" i="1"/>
  <c r="I21" i="1"/>
  <c r="Q20" i="1"/>
  <c r="P20" i="1"/>
  <c r="O20" i="1"/>
  <c r="N20" i="1"/>
  <c r="M20" i="1"/>
  <c r="L20" i="1"/>
  <c r="K20" i="1"/>
  <c r="J20" i="1"/>
  <c r="I20" i="1"/>
  <c r="Q19" i="1"/>
  <c r="P19" i="1"/>
  <c r="O19" i="1"/>
  <c r="N19" i="1"/>
  <c r="M19" i="1"/>
  <c r="L19" i="1"/>
  <c r="K19" i="1"/>
  <c r="J19" i="1"/>
  <c r="I19" i="1"/>
  <c r="Q18" i="1"/>
  <c r="P18" i="1"/>
  <c r="O18" i="1"/>
  <c r="N18" i="1"/>
  <c r="M18" i="1"/>
  <c r="L18" i="1"/>
  <c r="K18" i="1"/>
  <c r="J18" i="1"/>
  <c r="I18" i="1"/>
  <c r="Q17" i="1"/>
  <c r="P17" i="1"/>
  <c r="O17" i="1"/>
  <c r="N17" i="1"/>
  <c r="M17" i="1"/>
  <c r="L17" i="1"/>
  <c r="K17" i="1"/>
  <c r="J17" i="1"/>
  <c r="I17" i="1"/>
  <c r="Q16" i="1"/>
  <c r="P16" i="1"/>
  <c r="O16" i="1"/>
  <c r="N16" i="1"/>
  <c r="M16" i="1"/>
  <c r="L16" i="1"/>
  <c r="K16" i="1"/>
  <c r="J16" i="1"/>
  <c r="I16" i="1"/>
  <c r="Q15" i="1"/>
  <c r="P15" i="1"/>
  <c r="O15" i="1"/>
  <c r="N15" i="1"/>
  <c r="M15" i="1"/>
  <c r="L15" i="1"/>
  <c r="K15" i="1"/>
  <c r="J15" i="1"/>
  <c r="I15" i="1"/>
  <c r="Q14" i="1"/>
  <c r="P14" i="1"/>
  <c r="O14" i="1"/>
  <c r="N14" i="1"/>
  <c r="M14" i="1"/>
  <c r="L14" i="1"/>
  <c r="K14" i="1"/>
  <c r="J14" i="1"/>
  <c r="I14" i="1"/>
  <c r="Q13" i="1"/>
  <c r="P13" i="1"/>
  <c r="O13" i="1"/>
  <c r="N13" i="1"/>
  <c r="M13" i="1"/>
  <c r="L13" i="1"/>
  <c r="K13" i="1"/>
  <c r="J13" i="1"/>
  <c r="I13" i="1"/>
  <c r="Q12" i="1"/>
  <c r="P12" i="1"/>
  <c r="O12" i="1"/>
  <c r="N12" i="1"/>
  <c r="M12" i="1"/>
  <c r="L12" i="1"/>
  <c r="K12" i="1"/>
  <c r="J12" i="1"/>
  <c r="I12" i="1"/>
  <c r="Q11" i="1"/>
  <c r="P11" i="1"/>
  <c r="O11" i="1"/>
  <c r="N11" i="1"/>
  <c r="M11" i="1"/>
  <c r="L11" i="1"/>
  <c r="K11" i="1"/>
  <c r="J11" i="1"/>
  <c r="I11" i="1"/>
  <c r="N10" i="1"/>
  <c r="N9" i="1"/>
  <c r="Q8" i="1"/>
  <c r="P8" i="1"/>
  <c r="O8" i="1"/>
  <c r="N8" i="1"/>
  <c r="M8" i="1"/>
  <c r="L8" i="1"/>
  <c r="K8" i="1"/>
  <c r="J8" i="1"/>
  <c r="I8" i="1"/>
  <c r="N7" i="1"/>
  <c r="Q6" i="1"/>
  <c r="Q188" i="1" s="1"/>
  <c r="P6" i="1"/>
  <c r="N6" i="1"/>
  <c r="N189" i="1" s="1"/>
  <c r="M6" i="1"/>
  <c r="L6" i="1"/>
  <c r="K6" i="1"/>
  <c r="K192" i="1" s="1"/>
  <c r="J6" i="1"/>
  <c r="J191" i="1" s="1"/>
  <c r="I6" i="1"/>
  <c r="I188" i="1" s="1"/>
  <c r="H3" i="1"/>
  <c r="H214" i="1" s="1"/>
  <c r="K116" i="1" l="1"/>
  <c r="J183" i="1"/>
  <c r="N190" i="1"/>
  <c r="K191" i="1"/>
  <c r="J188" i="1"/>
  <c r="N192" i="1"/>
  <c r="N185" i="1"/>
  <c r="I189" i="1"/>
  <c r="K197" i="1"/>
  <c r="H75" i="1"/>
  <c r="H77" i="1"/>
  <c r="H80" i="1"/>
  <c r="H83" i="1"/>
  <c r="H85" i="1"/>
  <c r="H87" i="1"/>
  <c r="H89" i="1"/>
  <c r="H101" i="1"/>
  <c r="H102" i="1"/>
  <c r="H104" i="1"/>
  <c r="H106" i="1"/>
  <c r="H108" i="1"/>
  <c r="H110" i="1"/>
  <c r="H112" i="1"/>
  <c r="H114" i="1"/>
  <c r="H132" i="1"/>
  <c r="H134" i="1"/>
  <c r="H136" i="1"/>
  <c r="H139" i="1"/>
  <c r="N183" i="1"/>
  <c r="H185" i="1"/>
  <c r="Q185" i="1"/>
  <c r="K187" i="1"/>
  <c r="K188" i="1"/>
  <c r="J189" i="1"/>
  <c r="I190" i="1"/>
  <c r="Q190" i="1"/>
  <c r="N191" i="1"/>
  <c r="Q192" i="1"/>
  <c r="Q197" i="1"/>
  <c r="H81" i="1"/>
  <c r="H95" i="1"/>
  <c r="H97" i="1"/>
  <c r="I116" i="1"/>
  <c r="N116" i="1"/>
  <c r="H118" i="1"/>
  <c r="H120" i="1"/>
  <c r="H122" i="1"/>
  <c r="H124" i="1"/>
  <c r="H126" i="1"/>
  <c r="H128" i="1"/>
  <c r="H130" i="1"/>
  <c r="H142" i="1"/>
  <c r="H145" i="1"/>
  <c r="H160" i="1"/>
  <c r="H165" i="1"/>
  <c r="H167" i="1"/>
  <c r="H169" i="1"/>
  <c r="H171" i="1"/>
  <c r="H173" i="1"/>
  <c r="H175" i="1"/>
  <c r="H177" i="1"/>
  <c r="H179" i="1"/>
  <c r="H181" i="1"/>
  <c r="H183" i="1"/>
  <c r="I185" i="1"/>
  <c r="H186" i="1"/>
  <c r="N187" i="1"/>
  <c r="N188" i="1"/>
  <c r="K189" i="1"/>
  <c r="J190" i="1"/>
  <c r="I191" i="1"/>
  <c r="Q191" i="1"/>
  <c r="H193" i="1"/>
  <c r="H198" i="1"/>
  <c r="H200" i="1"/>
  <c r="H202" i="1"/>
  <c r="H204" i="1"/>
  <c r="H206" i="1"/>
  <c r="Q189" i="1"/>
  <c r="H13" i="1"/>
  <c r="H32" i="1"/>
  <c r="H34" i="1"/>
  <c r="H41" i="1"/>
  <c r="H48" i="1"/>
  <c r="H50" i="1"/>
  <c r="H52" i="1"/>
  <c r="H54" i="1"/>
  <c r="H56" i="1"/>
  <c r="H58" i="1"/>
  <c r="H61" i="1"/>
  <c r="H63" i="1"/>
  <c r="H65" i="1"/>
  <c r="H74" i="1"/>
  <c r="H76" i="1"/>
  <c r="H78" i="1"/>
  <c r="H84" i="1"/>
  <c r="H86" i="1"/>
  <c r="H88" i="1"/>
  <c r="H103" i="1"/>
  <c r="H105" i="1"/>
  <c r="H107" i="1"/>
  <c r="H109" i="1"/>
  <c r="H111" i="1"/>
  <c r="H113" i="1"/>
  <c r="H115" i="1"/>
  <c r="Q116" i="1"/>
  <c r="H133" i="1"/>
  <c r="H135" i="1"/>
  <c r="H137" i="1"/>
  <c r="H140" i="1"/>
  <c r="H143" i="1"/>
  <c r="H147" i="1"/>
  <c r="H184" i="1"/>
  <c r="K185" i="1"/>
  <c r="K190" i="1"/>
  <c r="H197" i="1"/>
</calcChain>
</file>

<file path=xl/comments1.xml><?xml version="1.0" encoding="utf-8"?>
<comments xmlns="http://schemas.openxmlformats.org/spreadsheetml/2006/main">
  <authors>
    <author>Евгения Станиславовна</author>
  </authors>
  <commentList>
    <comment ref="D76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по служебной записке 9 пачек в семестр
</t>
        </r>
      </text>
    </comment>
    <comment ref="D122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по служебки от 28.06.22 </t>
        </r>
      </text>
    </comment>
    <comment ref="D123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по служкбной записке от06.10.2022
</t>
        </r>
      </text>
    </comment>
    <comment ref="E147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единовременно выдать 3 пачки</t>
        </r>
      </text>
    </comment>
    <comment ref="D191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  <r>
          <rPr>
            <sz val="9"/>
            <color indexed="81"/>
            <rFont val="Tahoma"/>
            <family val="2"/>
            <charset val="204"/>
          </rPr>
          <t>норма бумаги увеличенна в 2.5 раза по служебной записке от 18.10.2023 (подр. 1215/12152/12153</t>
        </r>
      </text>
    </comment>
    <comment ref="D209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служебная записска от 20.10.2022</t>
        </r>
      </text>
    </comment>
    <comment ref="D210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служебная записска от 20.10.2022</t>
        </r>
      </text>
    </comment>
    <comment ref="D224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служебная записка от 05.09.2022 </t>
        </r>
      </text>
    </comment>
  </commentList>
</comments>
</file>

<file path=xl/comments2.xml><?xml version="1.0" encoding="utf-8"?>
<comments xmlns="http://schemas.openxmlformats.org/spreadsheetml/2006/main">
  <authors>
    <author>Евгения Станиславовна</author>
    <author>Решетникова Татьяна</author>
  </authors>
  <commentList>
    <comment ref="E31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по разговору с Сайчуком на гос. Экз. разово 02.06.2022
</t>
        </r>
      </text>
    </comment>
    <comment ref="E59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5 по временной новмк + 5 пачек по служебке от 29.06.2022 единовременно</t>
        </r>
      </text>
    </comment>
    <comment ref="E66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с/з от 20.09.2022</t>
        </r>
      </text>
    </comment>
    <comment ref="E71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до конца 2022 9 пачек по сл/з от 12.09.2022
</t>
        </r>
      </text>
    </comment>
    <comment ref="E116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по служебки от 28.06.22 Сайчук
</t>
        </r>
      </text>
    </comment>
    <comment ref="E117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по служебной записке от 01.07.2022 единовременно выдать 5 пачек бумаги
</t>
        </r>
      </text>
    </comment>
    <comment ref="E131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10 пачек до конца приемной компании по служ.записке от 11.05.2022</t>
        </r>
      </text>
    </comment>
    <comment ref="E163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добавлено по служебке от 05.04.2022 3 пачки на год(1.5 пасчки в полугодие) для выставления счетов</t>
        </r>
      </text>
    </comment>
    <comment ref="L183" authorId="1" shapeId="0">
      <text>
        <r>
          <rPr>
            <b/>
            <sz val="8"/>
            <color indexed="81"/>
            <rFont val="Tahoma"/>
            <family val="2"/>
            <charset val="204"/>
          </rPr>
          <t>Решетникова Татьяна:</t>
        </r>
        <r>
          <rPr>
            <sz val="8"/>
            <color indexed="81"/>
            <rFont val="Tahoma"/>
            <family val="2"/>
            <charset val="204"/>
          </rPr>
          <t xml:space="preserve">
в т.ч. 2 уп больших, 8 маленьких</t>
        </r>
      </text>
    </comment>
    <comment ref="E217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единовременно по служебке выдать 40 пачек</t>
        </r>
      </text>
    </comment>
  </commentList>
</comments>
</file>

<file path=xl/comments3.xml><?xml version="1.0" encoding="utf-8"?>
<comments xmlns="http://schemas.openxmlformats.org/spreadsheetml/2006/main">
  <authors>
    <author>Евгения Станиславовна</author>
    <author>Решетникова Татьяна</author>
  </authors>
  <commentList>
    <comment ref="H31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по разговору с Сайчуком на гос. Экз. разово 02.06.2022
</t>
        </r>
      </text>
    </comment>
    <comment ref="H59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5 по временной новмк + 5 пачек по служебке от 29.06.2022 единовременно</t>
        </r>
      </text>
    </comment>
    <comment ref="H66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с/з от 20.09.2022</t>
        </r>
      </text>
    </comment>
    <comment ref="G67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с/з от 20.09.2022</t>
        </r>
      </text>
    </comment>
    <comment ref="H71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до конца 2022 9 пачек по сл/з от 12.09.2022
</t>
        </r>
      </text>
    </comment>
    <comment ref="H116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по служебки от 28.06.22 Сайчук
</t>
        </r>
      </text>
    </comment>
    <comment ref="H117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по служебной записке от 01.07.2022 единовременно выдать 5 пачек бумаги
</t>
        </r>
      </text>
    </comment>
    <comment ref="H131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10 пачек до конца приемной компании по служ.записке от 11.05.2022</t>
        </r>
      </text>
    </comment>
    <comment ref="H163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добавлено по служебке от 05.04.2022 3 пачки на год(1.5 пасчки в полугодие) для выставления счетов</t>
        </r>
      </text>
    </comment>
    <comment ref="O183" authorId="1" shapeId="0">
      <text>
        <r>
          <rPr>
            <b/>
            <sz val="8"/>
            <color indexed="81"/>
            <rFont val="Tahoma"/>
            <family val="2"/>
            <charset val="204"/>
          </rPr>
          <t>Решетникова Татьяна:</t>
        </r>
        <r>
          <rPr>
            <sz val="8"/>
            <color indexed="81"/>
            <rFont val="Tahoma"/>
            <family val="2"/>
            <charset val="204"/>
          </rPr>
          <t xml:space="preserve">
в т.ч. 2 уп больших, 8 маленьких</t>
        </r>
      </text>
    </comment>
    <comment ref="H217" authorId="0" shapeId="0">
      <text>
        <r>
          <rPr>
            <b/>
            <sz val="8"/>
            <color indexed="81"/>
            <rFont val="Tahoma"/>
            <family val="2"/>
            <charset val="204"/>
          </rPr>
          <t>Евгения Станиславовна:</t>
        </r>
        <r>
          <rPr>
            <sz val="8"/>
            <color indexed="81"/>
            <rFont val="Tahoma"/>
            <family val="2"/>
            <charset val="204"/>
          </rPr>
          <t xml:space="preserve">
единовременно по служебке выдать 40 пачек</t>
        </r>
      </text>
    </comment>
  </commentList>
</comments>
</file>

<file path=xl/sharedStrings.xml><?xml version="1.0" encoding="utf-8"?>
<sst xmlns="http://schemas.openxmlformats.org/spreadsheetml/2006/main" count="1368" uniqueCount="640">
  <si>
    <t>Наименование канцтоваров</t>
  </si>
  <si>
    <t>Бумага ксероксная</t>
  </si>
  <si>
    <t xml:space="preserve">Ручка </t>
  </si>
  <si>
    <t>Стержень</t>
  </si>
  <si>
    <t>Карандаш ченограф.</t>
  </si>
  <si>
    <t>Клей- карандаш</t>
  </si>
  <si>
    <t>Коррект. Лента</t>
  </si>
  <si>
    <t>Резинка</t>
  </si>
  <si>
    <t>Скобы для степлера</t>
  </si>
  <si>
    <t>Скотч</t>
  </si>
  <si>
    <t>Скрепка</t>
  </si>
  <si>
    <t xml:space="preserve">Конверт </t>
  </si>
  <si>
    <t>Книга учета</t>
  </si>
  <si>
    <t>Папка с завязками</t>
  </si>
  <si>
    <t>Ед.изм.</t>
  </si>
  <si>
    <t>Кол-во пачек на 1чел.в семестр</t>
  </si>
  <si>
    <t>Кол-во штук на 1чел.в семестр</t>
  </si>
  <si>
    <t>Кол-во штук на 1чел.в год</t>
  </si>
  <si>
    <t>Кол-во штук на 10чел.в семестр</t>
  </si>
  <si>
    <t>Кол-во пачек на 10чел.в семестр</t>
  </si>
  <si>
    <t>Кол-во штук на год</t>
  </si>
  <si>
    <t>Норма выдачи на чел.</t>
  </si>
  <si>
    <t>по требованию подразделений</t>
  </si>
  <si>
    <t>КодПодр</t>
  </si>
  <si>
    <t>Наименование подразделения</t>
  </si>
  <si>
    <t>Кол-во ставок</t>
  </si>
  <si>
    <t>Нормы выдачи по подразделениям на семестр</t>
  </si>
  <si>
    <t>1</t>
  </si>
  <si>
    <t>Ректор</t>
  </si>
  <si>
    <t xml:space="preserve">по требованию </t>
  </si>
  <si>
    <t>1002</t>
  </si>
  <si>
    <t>МИОСТ</t>
  </si>
  <si>
    <t>100226</t>
  </si>
  <si>
    <t xml:space="preserve">Базовая кафедра ЭЭПХТ </t>
  </si>
  <si>
    <t>100228</t>
  </si>
  <si>
    <t>Кафедра ТЭ Кафедра туризма и экологии</t>
  </si>
  <si>
    <t>Кафедра ЭБГ Кафедра экологии, биологии и географии</t>
  </si>
  <si>
    <t>ЛЭМ Лаборатория экологического мониторинга</t>
  </si>
  <si>
    <t>1004</t>
  </si>
  <si>
    <t>ИИЯ Институт иностранных языков</t>
  </si>
  <si>
    <t>100401</t>
  </si>
  <si>
    <t xml:space="preserve">Кафедра МКП </t>
  </si>
  <si>
    <t>100403</t>
  </si>
  <si>
    <t>ОПП ИИЯ Отделение подготовки переводчиков</t>
  </si>
  <si>
    <t>100404</t>
  </si>
  <si>
    <t>Ресурсный центр иностранных языков</t>
  </si>
  <si>
    <t>100407</t>
  </si>
  <si>
    <t>Кафедра РЯЗ Кафедра русского языка</t>
  </si>
  <si>
    <t>100409</t>
  </si>
  <si>
    <t>ЦТИГ Центр тестирования иностранных граждан</t>
  </si>
  <si>
    <t>Кафедра ПО Кафедра педагогики и образования</t>
  </si>
  <si>
    <t>1008</t>
  </si>
  <si>
    <t>ИЗДО Институт заочного и дистанционного обучения</t>
  </si>
  <si>
    <t>100802</t>
  </si>
  <si>
    <t>ОДО Отделение дистанционного обучения</t>
  </si>
  <si>
    <t>100803</t>
  </si>
  <si>
    <t>ОЗВО Отделение заочного и вечернего обучения</t>
  </si>
  <si>
    <t>100806</t>
  </si>
  <si>
    <t>Пред. в г. Фокино Представительство ФГБОУ ВО "ВГУЭС" в г. Фокино</t>
  </si>
  <si>
    <t>100807</t>
  </si>
  <si>
    <t>Пред. в п. Лучегорске Представительство ФГБОУ ВО "ВГУЭС" в пгт. Лучегорске</t>
  </si>
  <si>
    <t>100808</t>
  </si>
  <si>
    <t>Пред. в г. Дальнегорске Представительство ФГБОУ ВО "ВГУЭС" в г. Дальнегорске</t>
  </si>
  <si>
    <t>100809</t>
  </si>
  <si>
    <t>Пред. в г. Лесозаводске Представительство ФГБОУ ВО "ВГУЭС" в г. Лесозаводске</t>
  </si>
  <si>
    <t>100811</t>
  </si>
  <si>
    <t>Пред. в п. Кавалерово Представительство ФГБОУ ВО "ВГУЭС" в пгт. Кавалерово</t>
  </si>
  <si>
    <t>100812</t>
  </si>
  <si>
    <t>Пред. в г. Спасске-Дальнем Представительство ФГБОУ ВО "ВГУЭС" в г. Спасск-Дальний</t>
  </si>
  <si>
    <t>100813</t>
  </si>
  <si>
    <t>Пред. в г. Уссурийске Представительство ФГБОУ ВО "ВГУЭС" в г. Уссурийске</t>
  </si>
  <si>
    <t>100814</t>
  </si>
  <si>
    <t>Пред. в п. Хороле Представительство ФГБОУ ВО "ВГУЭС" в п. Хороль</t>
  </si>
  <si>
    <t>100816</t>
  </si>
  <si>
    <t>Пред. в п. Новом Представительство ФГБОУ ВО "ВГУЭС" в п. Новый</t>
  </si>
  <si>
    <t>ЦИМП</t>
  </si>
  <si>
    <t>1020</t>
  </si>
  <si>
    <t xml:space="preserve">Институт права </t>
  </si>
  <si>
    <t>102001</t>
  </si>
  <si>
    <t>Кафедра ГПД Кафедра гражданско-правовых дисциплин</t>
  </si>
  <si>
    <t>102002</t>
  </si>
  <si>
    <t>Кафедра УПД Кафедра уголовно-правовых дисциплин</t>
  </si>
  <si>
    <t>102003</t>
  </si>
  <si>
    <t>Кафедра ТИРЗП Кафедра теории и истории российского и зарубежного права</t>
  </si>
  <si>
    <t>102006</t>
  </si>
  <si>
    <t>Кафедра ФЮП Кафедра философии и юридической психологии</t>
  </si>
  <si>
    <t>ЦППП Центр психологической помощи и поддержки</t>
  </si>
  <si>
    <t>102007</t>
  </si>
  <si>
    <t>Кафедра МОП Кафедра международных отношений и права</t>
  </si>
  <si>
    <t>102008</t>
  </si>
  <si>
    <t>Кафедра КАП Кафедра конституционного и административного права</t>
  </si>
  <si>
    <t>102090</t>
  </si>
  <si>
    <t>Юридическая клиника</t>
  </si>
  <si>
    <t>1030</t>
  </si>
  <si>
    <t>ИСМД Институт сервиса, моды и дизайна</t>
  </si>
  <si>
    <t>103001</t>
  </si>
  <si>
    <t>Кафедра ДЗТ Кафедра дизайна и технологий</t>
  </si>
  <si>
    <t>103002</t>
  </si>
  <si>
    <t>КИМК Колледж индустрии моды и красоты</t>
  </si>
  <si>
    <t>1030021</t>
  </si>
  <si>
    <t xml:space="preserve"> Мастерская по компетенции "Реклама"</t>
  </si>
  <si>
    <t>1030022</t>
  </si>
  <si>
    <t>Мастерская по компетенции "Фотография"</t>
  </si>
  <si>
    <t>1030023</t>
  </si>
  <si>
    <t>Мастерская по компетенции "Парикмахерское искусство"</t>
  </si>
  <si>
    <t>1030024</t>
  </si>
  <si>
    <t>Мастерская по компетенции "Технологии моды"</t>
  </si>
  <si>
    <t>103005</t>
  </si>
  <si>
    <t>УЛК Учебно-лабораторный комплекс</t>
  </si>
  <si>
    <t>1032</t>
  </si>
  <si>
    <t>ИТЛ Институт транспорта и логистики</t>
  </si>
  <si>
    <t>103201</t>
  </si>
  <si>
    <t>Кафедра ТПТ Кафедра транспортных процессов и технологий</t>
  </si>
  <si>
    <t>103203</t>
  </si>
  <si>
    <t>УМЦБДД Учебно-методический центр безопасности дорожного движения</t>
  </si>
  <si>
    <t>103204</t>
  </si>
  <si>
    <t>УПК Учебно-производственный комплекс</t>
  </si>
  <si>
    <t>1032041</t>
  </si>
  <si>
    <t>Транспортная служба</t>
  </si>
  <si>
    <t>1047</t>
  </si>
  <si>
    <t>ИМКД</t>
  </si>
  <si>
    <t>104701</t>
  </si>
  <si>
    <t>Кафедра МТ Кафедра маркетинга и торговли</t>
  </si>
  <si>
    <t>1050</t>
  </si>
  <si>
    <t>ИЦЭБА</t>
  </si>
  <si>
    <t>10501</t>
  </si>
  <si>
    <t>Кафедра ММ Кафедра математики и моделирования</t>
  </si>
  <si>
    <t>10502</t>
  </si>
  <si>
    <t>КИБ</t>
  </si>
  <si>
    <t>ИФКС Институт физической культуры и спорта</t>
  </si>
  <si>
    <t>Кафедра ФОСР</t>
  </si>
  <si>
    <t>СК "Чемпион" Спортивный комплекс "Чемпион"</t>
  </si>
  <si>
    <t>ОУФ Отдел управления фитнесом</t>
  </si>
  <si>
    <t>ТО Технический отдел</t>
  </si>
  <si>
    <t>ОВВВК Отдел по взаимодействию с внутренними и внешними контрагентами</t>
  </si>
  <si>
    <t>ОРК Отдел по работе с клиентами</t>
  </si>
  <si>
    <t>ЦПРИСФ Центр профессионального развития в индустрии спорта и фитнеса</t>
  </si>
  <si>
    <t>ИМБЭУ</t>
  </si>
  <si>
    <t>Кафедра ЭУ Кафедра экономики и управления</t>
  </si>
  <si>
    <t>НЛРИ Научная лаборатория региональных исследований</t>
  </si>
  <si>
    <t>ВШКТВ Высшая школа кино ителевидения</t>
  </si>
  <si>
    <t>Видеостудия</t>
  </si>
  <si>
    <t>ИПО Институт постдипломного образования</t>
  </si>
  <si>
    <t>IT-колледж</t>
  </si>
  <si>
    <t>1078</t>
  </si>
  <si>
    <t>МИПАИГ Международный институт подготовки и адаптации иностранных граждан</t>
  </si>
  <si>
    <t>107801</t>
  </si>
  <si>
    <t>ОСКА Отдел по социальной и культурной адаптации</t>
  </si>
  <si>
    <t>107802</t>
  </si>
  <si>
    <t>ПОИГ Подготовительное отделение для иностранных граждан</t>
  </si>
  <si>
    <t>1080</t>
  </si>
  <si>
    <t xml:space="preserve">КСД Колледж сервиса и дизайна </t>
  </si>
  <si>
    <t>108014</t>
  </si>
  <si>
    <t>Спортивный комплекс "Чемпион" № 3</t>
  </si>
  <si>
    <t>108015</t>
  </si>
  <si>
    <t>Мастерская по компетенции "Графический дизайн"</t>
  </si>
  <si>
    <t>108016</t>
  </si>
  <si>
    <t>Мастерская по компетенции "Электроника"</t>
  </si>
  <si>
    <t>108017</t>
  </si>
  <si>
    <t>Мастерская по компетенции "Облачные технологии"</t>
  </si>
  <si>
    <t>108018</t>
  </si>
  <si>
    <t>ЦПОиСО Центр профессиональной ориентации и сопровождения обучающихся</t>
  </si>
  <si>
    <t>108019</t>
  </si>
  <si>
    <t>Мастерская по компетенции "Сетевое и системное администрирование"</t>
  </si>
  <si>
    <t>1090</t>
  </si>
  <si>
    <t>Академический колледж</t>
  </si>
  <si>
    <t>10902</t>
  </si>
  <si>
    <t>Мастерская по компетенции "Промышленный дизайн"</t>
  </si>
  <si>
    <t>10903</t>
  </si>
  <si>
    <t>Мастерская по компетенции "Визуальный мерчендайзинг"</t>
  </si>
  <si>
    <t>10904</t>
  </si>
  <si>
    <t>Мастерская по компетенции "Администрирование отеля"</t>
  </si>
  <si>
    <t>10905</t>
  </si>
  <si>
    <t>Мастерская по компетенции "Туризм"</t>
  </si>
  <si>
    <t>111</t>
  </si>
  <si>
    <t>Проректор по комплексной безопасности</t>
  </si>
  <si>
    <t>11105</t>
  </si>
  <si>
    <t>Медицинский центр</t>
  </si>
  <si>
    <t>11109</t>
  </si>
  <si>
    <t>УКБ</t>
  </si>
  <si>
    <t>111091</t>
  </si>
  <si>
    <t>ООТПБ</t>
  </si>
  <si>
    <t>111092</t>
  </si>
  <si>
    <t>ООБ</t>
  </si>
  <si>
    <t>111093</t>
  </si>
  <si>
    <t>Отдел ГОЧС</t>
  </si>
  <si>
    <t>112</t>
  </si>
  <si>
    <t>Cоветник ректора</t>
  </si>
  <si>
    <t>11214</t>
  </si>
  <si>
    <t>Юридическая служба</t>
  </si>
  <si>
    <t>1121401</t>
  </si>
  <si>
    <t>Общеправовой отдел</t>
  </si>
  <si>
    <t>1121402</t>
  </si>
  <si>
    <t>ОСПР Отдел судебно-претензионной работы</t>
  </si>
  <si>
    <t>11232</t>
  </si>
  <si>
    <t xml:space="preserve">УСПТ Управление по содержанию помещений и территорий </t>
  </si>
  <si>
    <t>1123201</t>
  </si>
  <si>
    <t>СХО Служба хозяйственного обеспечения</t>
  </si>
  <si>
    <t>1123202</t>
  </si>
  <si>
    <t>РВС Ремонтно-восстановительная  служба</t>
  </si>
  <si>
    <t>11233</t>
  </si>
  <si>
    <t>ОЭСР Отдел эксплуатации, строительства и ремонтов</t>
  </si>
  <si>
    <t>11243</t>
  </si>
  <si>
    <t>Служба снабжения</t>
  </si>
  <si>
    <t>11244</t>
  </si>
  <si>
    <t>ОУИ Отдел управления имуществом</t>
  </si>
  <si>
    <t>Проректор по молодежной политике и воспитательной работе</t>
  </si>
  <si>
    <t>114</t>
  </si>
  <si>
    <t>Проректор по учебно-воспитательной и научно-исследовательской работе</t>
  </si>
  <si>
    <t>11414</t>
  </si>
  <si>
    <t>Заместитель проректора по учебно-воспитательной и научно-исследовательской работе</t>
  </si>
  <si>
    <t>1141402</t>
  </si>
  <si>
    <t>ЦПО Центр проектного обучения</t>
  </si>
  <si>
    <t>1141404</t>
  </si>
  <si>
    <t xml:space="preserve">УДСиБП  Управление делового сотрудничества и бизнес-партнерства </t>
  </si>
  <si>
    <t>114140401</t>
  </si>
  <si>
    <t>РЦ "Старт-карьера" Региональный центр "Старт-карьера"</t>
  </si>
  <si>
    <t>114140403</t>
  </si>
  <si>
    <t>Кадровое агентство</t>
  </si>
  <si>
    <t>Центр "Точка кипения"</t>
  </si>
  <si>
    <t>11415</t>
  </si>
  <si>
    <t>ДУВР Департамент учебной и воспитательной работы</t>
  </si>
  <si>
    <t>114151</t>
  </si>
  <si>
    <t>ООПС Отдел образовательных программ и стандартов</t>
  </si>
  <si>
    <t>114152</t>
  </si>
  <si>
    <t>Учебный отдел Учебный отдел</t>
  </si>
  <si>
    <t>114157</t>
  </si>
  <si>
    <t>УРС Управление по работе со студентами</t>
  </si>
  <si>
    <t>11415701</t>
  </si>
  <si>
    <t xml:space="preserve">Студенческий офис </t>
  </si>
  <si>
    <t>11415702</t>
  </si>
  <si>
    <t>ОСО Организационно-студенческий отдел</t>
  </si>
  <si>
    <t>11415703</t>
  </si>
  <si>
    <t>ОПД Отдел приема документов</t>
  </si>
  <si>
    <t>11415705</t>
  </si>
  <si>
    <t>ЦМПиСО Центр молодежной политики и студенческих объединений</t>
  </si>
  <si>
    <t>11415707</t>
  </si>
  <si>
    <t>Студенческий городок</t>
  </si>
  <si>
    <t>1141570701</t>
  </si>
  <si>
    <t>Общежитие № 1</t>
  </si>
  <si>
    <t>1141570702</t>
  </si>
  <si>
    <t>Общежитие № 2</t>
  </si>
  <si>
    <t>1141570703</t>
  </si>
  <si>
    <t>Общежитие № 3</t>
  </si>
  <si>
    <t>1141570714</t>
  </si>
  <si>
    <t>Общежитие № 4</t>
  </si>
  <si>
    <t>114158</t>
  </si>
  <si>
    <t>УМП Управление молодежной политики</t>
  </si>
  <si>
    <t>11415801</t>
  </si>
  <si>
    <t>МЦ Молодежный центр</t>
  </si>
  <si>
    <t>11415802</t>
  </si>
  <si>
    <t>Центр волонтёров ВГУЭС</t>
  </si>
  <si>
    <t>11415803</t>
  </si>
  <si>
    <t>ССК Спортивный студенческий клуб</t>
  </si>
  <si>
    <t>114159</t>
  </si>
  <si>
    <t>УАО Учебно-аналитический отдел</t>
  </si>
  <si>
    <t>Заместитель проректора по УВНИР</t>
  </si>
  <si>
    <t>Центр Абитуриент</t>
  </si>
  <si>
    <t xml:space="preserve">Заместитель проректора по УВНИР Заместитель проректора по учебно-воспитательной и научно-исследовательской работе                  </t>
  </si>
  <si>
    <t>11430</t>
  </si>
  <si>
    <t>ДНИР Департамент научно-исследовательской работы</t>
  </si>
  <si>
    <t>1143001</t>
  </si>
  <si>
    <t>НИЦ Научно-исследовательский центр</t>
  </si>
  <si>
    <t>114300122</t>
  </si>
  <si>
    <t>НОЦ РСЭС Научно-образовательный центр "Развитие социально-экономических систем"</t>
  </si>
  <si>
    <t>114300123</t>
  </si>
  <si>
    <t>ЛСП Лаборатория стратегического планирования</t>
  </si>
  <si>
    <t>114300124</t>
  </si>
  <si>
    <t>НОЦ ПППРЛ Научно-образовательный центр педагогики и психологии профессионального развития личности</t>
  </si>
  <si>
    <t>114300125</t>
  </si>
  <si>
    <t>Межведомственный научно-образовательный центр "Растительные ресурсы"</t>
  </si>
  <si>
    <t>114300126</t>
  </si>
  <si>
    <t>ЛФПФ Лаборатория фундаментальной и прикладной физики</t>
  </si>
  <si>
    <t>114300127</t>
  </si>
  <si>
    <t>ЛХТФМ Лаборатория химии и технологии функциональных материалов</t>
  </si>
  <si>
    <t>114300128</t>
  </si>
  <si>
    <t>ЛКИД Лаборатория комплексных исследований детства</t>
  </si>
  <si>
    <t>114300129</t>
  </si>
  <si>
    <t>ЛСЭППИ</t>
  </si>
  <si>
    <t>114300130</t>
  </si>
  <si>
    <t>Лаборатория "Планпаралия"</t>
  </si>
  <si>
    <t>1143002</t>
  </si>
  <si>
    <t>ИПКВК Институт подготовки кадров высшей квалификации</t>
  </si>
  <si>
    <t>114300202</t>
  </si>
  <si>
    <t xml:space="preserve">Отдел аспирантуры и докторантуры </t>
  </si>
  <si>
    <t>1143003</t>
  </si>
  <si>
    <t>ЦНИПП Центр научных исследований, проектов и программ</t>
  </si>
  <si>
    <t>1143004</t>
  </si>
  <si>
    <t>ООНИР Отдел организации научно-исследовательской работы</t>
  </si>
  <si>
    <t>11440</t>
  </si>
  <si>
    <t>ДМКД Департамент международной и культурной деятельности</t>
  </si>
  <si>
    <t>1144001</t>
  </si>
  <si>
    <t>ОПВР Отдел протокола, виз и регистраций</t>
  </si>
  <si>
    <t>1144002</t>
  </si>
  <si>
    <t>ОМАМ Отдел международной академической мобильности</t>
  </si>
  <si>
    <t>1144003</t>
  </si>
  <si>
    <t>ОМОП Отдел международных образовательных программ</t>
  </si>
  <si>
    <t>1144004</t>
  </si>
  <si>
    <t xml:space="preserve">ЦЭИДО Центр экспертизы иностранных документов об образовании </t>
  </si>
  <si>
    <t>1144006</t>
  </si>
  <si>
    <t>Музейно-выставочный комплекс</t>
  </si>
  <si>
    <t>11470</t>
  </si>
  <si>
    <t>УСЦ Учебно-сварочный центр</t>
  </si>
  <si>
    <t>115</t>
  </si>
  <si>
    <t>Проректор по цифровому развитию</t>
  </si>
  <si>
    <t>115001</t>
  </si>
  <si>
    <t>ДЦР Департамент цифрового развития</t>
  </si>
  <si>
    <t>1150011</t>
  </si>
  <si>
    <t>ОУА Отдел учебной аналитики</t>
  </si>
  <si>
    <t>1150012</t>
  </si>
  <si>
    <t>ЦПОИ Центр поддержки образовательных инноваций</t>
  </si>
  <si>
    <t>1150013</t>
  </si>
  <si>
    <t>Проектный офис</t>
  </si>
  <si>
    <t>1150014</t>
  </si>
  <si>
    <t>ЛЦР Лаборатория цифровых решений</t>
  </si>
  <si>
    <t>Мастерская по компетенции "Разработка виртуальной и дополненной реальности"</t>
  </si>
  <si>
    <t>1150015</t>
  </si>
  <si>
    <t>ОСОТ Отдел современных образовательных технологий</t>
  </si>
  <si>
    <t>115002</t>
  </si>
  <si>
    <t>РЦ ИТ-инфраструктуры Ресурсный центр ИТ-инфраструктуры</t>
  </si>
  <si>
    <t>ДМСК Департамент маркетинга и стратегических коммуникаций</t>
  </si>
  <si>
    <t>11500301</t>
  </si>
  <si>
    <t>Пресс-служба Пресс-служба</t>
  </si>
  <si>
    <t>11500302</t>
  </si>
  <si>
    <t>Отдел маркетинга</t>
  </si>
  <si>
    <t>ЦИТО Центр информационно-технического обеспечения</t>
  </si>
  <si>
    <t>11503</t>
  </si>
  <si>
    <t>ИБИ Инновационный бизнес-инкубатор</t>
  </si>
  <si>
    <t>1150301</t>
  </si>
  <si>
    <t>БИС Бюро интеллектуальной собственности</t>
  </si>
  <si>
    <t>ИИТ Институт информационных технологий</t>
  </si>
  <si>
    <t>Кафедра ИТС Кафедра информационных технологий и систем</t>
  </si>
  <si>
    <t>Базовая кафедра современной оптики и фотоники</t>
  </si>
  <si>
    <t xml:space="preserve">ЛЦМАДФБ Лаборатория цифрового моделирования и анализа данных физики и биомедицины </t>
  </si>
  <si>
    <t>Центр разработки цифровых решений</t>
  </si>
  <si>
    <t>11509</t>
  </si>
  <si>
    <t>РИАЦ Ресурсный информационно-аналитический центр</t>
  </si>
  <si>
    <t>1150901</t>
  </si>
  <si>
    <t>Библиотека</t>
  </si>
  <si>
    <t>1150902</t>
  </si>
  <si>
    <t>Отдел комплектования</t>
  </si>
  <si>
    <t>1150916</t>
  </si>
  <si>
    <t>Издательство ВГУЭС</t>
  </si>
  <si>
    <t>Проректор по экономической и кадровой политике</t>
  </si>
  <si>
    <t>ДЭФ Департамент экономики и финансов</t>
  </si>
  <si>
    <t>ОЭП Отдел экономики и планирования</t>
  </si>
  <si>
    <t>Отдел закупок</t>
  </si>
  <si>
    <t>СДОУ</t>
  </si>
  <si>
    <t>Секретариат</t>
  </si>
  <si>
    <t xml:space="preserve">Общий отдел </t>
  </si>
  <si>
    <t>Архив</t>
  </si>
  <si>
    <t>ОКД Отдел кадрового делопроизводства</t>
  </si>
  <si>
    <t>ДБУ Департамент бухгалтерского учета</t>
  </si>
  <si>
    <t>Финансовый отдел</t>
  </si>
  <si>
    <t>Расчетный отдел</t>
  </si>
  <si>
    <t xml:space="preserve">Материальный отдел </t>
  </si>
  <si>
    <t>ОВД Отдел ведения договоров</t>
  </si>
  <si>
    <t>ОУДН Отдел учета доходов и налогообложения</t>
  </si>
  <si>
    <t xml:space="preserve">УЗГТиМ  </t>
  </si>
  <si>
    <t>ОЗГТ Отдел защиты государственной тайны</t>
  </si>
  <si>
    <t>ОМР Отдел по мобилизационной работе</t>
  </si>
  <si>
    <t>119</t>
  </si>
  <si>
    <t>ДМП Департамент мониторинга и прогнозирования</t>
  </si>
  <si>
    <t>119001</t>
  </si>
  <si>
    <t>Аналитический отдел</t>
  </si>
  <si>
    <t>119002</t>
  </si>
  <si>
    <t>ОПП Отдел проектов и программ</t>
  </si>
  <si>
    <t>119003</t>
  </si>
  <si>
    <t>ЦМРПО Центр мониторинга и развития профессионального образования</t>
  </si>
  <si>
    <t>130</t>
  </si>
  <si>
    <t>Филиал ФГБОУ ВО "ВГУЭС" в г. Находке</t>
  </si>
  <si>
    <t>1300001</t>
  </si>
  <si>
    <t>Лицей</t>
  </si>
  <si>
    <t>130005</t>
  </si>
  <si>
    <t>ОХО Отдел хозяйственного обеспечения</t>
  </si>
  <si>
    <t>130006</t>
  </si>
  <si>
    <t>ОУВНР Отдел учебно-воспитательной и научной работы</t>
  </si>
  <si>
    <t>130007</t>
  </si>
  <si>
    <t>ЦИТ Центр информационных технологий</t>
  </si>
  <si>
    <t>130008</t>
  </si>
  <si>
    <t>Кафедра ГСЭД Кафедра гуманитарных и социально-экономических дисциплин</t>
  </si>
  <si>
    <t>130009</t>
  </si>
  <si>
    <t>Отделение среднего профессионального образования</t>
  </si>
  <si>
    <t>164</t>
  </si>
  <si>
    <t>Филиал в г. Артеме</t>
  </si>
  <si>
    <t>16403</t>
  </si>
  <si>
    <t>ОССПО Отделение специальностей среднего профессионального образования</t>
  </si>
  <si>
    <t>16404</t>
  </si>
  <si>
    <t>Академический лицей</t>
  </si>
  <si>
    <t>16407</t>
  </si>
  <si>
    <t>ИТЦ Информационно-технический центр</t>
  </si>
  <si>
    <t>16409</t>
  </si>
  <si>
    <t>Молодежный центр</t>
  </si>
  <si>
    <t>16410</t>
  </si>
  <si>
    <t>16412</t>
  </si>
  <si>
    <t>Общежитие</t>
  </si>
  <si>
    <t>16413</t>
  </si>
  <si>
    <t xml:space="preserve">АХЧ Административно-хозяйственная часть </t>
  </si>
  <si>
    <t>16414</t>
  </si>
  <si>
    <t>Столовая</t>
  </si>
  <si>
    <t>179</t>
  </si>
  <si>
    <t>Филиал в г. Уссурийске</t>
  </si>
  <si>
    <t>''1791</t>
  </si>
  <si>
    <t>Педагогический институт</t>
  </si>
  <si>
    <t>''1792</t>
  </si>
  <si>
    <t>АХО</t>
  </si>
  <si>
    <t>''1793</t>
  </si>
  <si>
    <t>Спортивный комплекс</t>
  </si>
  <si>
    <t>''1794</t>
  </si>
  <si>
    <t>''1795</t>
  </si>
  <si>
    <t>Университетская гимназия</t>
  </si>
  <si>
    <t>Международный институт окружающей среды и туризма</t>
  </si>
  <si>
    <t>Базовая кафедра экологии и экологических проблем химической технологии</t>
  </si>
  <si>
    <t>Кафедра туризма и гостинично-ресторанного бизнеса</t>
  </si>
  <si>
    <t>Кафедра экологии, биологии и географии</t>
  </si>
  <si>
    <t>Лаборатория экологического мониторинга</t>
  </si>
  <si>
    <t>Институт педагогики и лингвистики</t>
  </si>
  <si>
    <t>Кафедра межкультурных коммуникаций и переводоведения</t>
  </si>
  <si>
    <t>Отделение подготовки переводчиков</t>
  </si>
  <si>
    <t>Кафедра русского языка</t>
  </si>
  <si>
    <t>Центр тестирования иностранных граждан</t>
  </si>
  <si>
    <t>Кафедра педагогики и образования</t>
  </si>
  <si>
    <t>Институт заочного обучения</t>
  </si>
  <si>
    <t>Отделение дистанционных технологий</t>
  </si>
  <si>
    <t>Отделение заочного и вечернего обучения</t>
  </si>
  <si>
    <t>Представительство ФГБОУ ВО "ВВГУ" в г. Фокино</t>
  </si>
  <si>
    <t>Представительство ФГБОУ ВО "ВВГУ" в пгт. Лучегорске</t>
  </si>
  <si>
    <t>Представительство ФГБОУ ВО "ВВГУ" в г. Дальнегорске</t>
  </si>
  <si>
    <t>Представительство ФГБОУ ВО "ВВГУ" в г. Лесозаводске</t>
  </si>
  <si>
    <t>Представительство ФГБОУ ВО "ВВГУ" в пгт. Кавалерово</t>
  </si>
  <si>
    <t>Представительство ФГБОУ ВО "ВВГУ" в г. Спасск-Дальний</t>
  </si>
  <si>
    <t>Представительство ФГБОУ ВО "ВВГУ" в г. Уссурийске</t>
  </si>
  <si>
    <t>Представительство ФГБОУ ВО "ВВГУ" в п. Хороль</t>
  </si>
  <si>
    <t>Представительство ФГБОУ ВО "ВВГУ" в п. Новый</t>
  </si>
  <si>
    <t>Центр информационно-методической поддержки</t>
  </si>
  <si>
    <t>Институт права</t>
  </si>
  <si>
    <t>Кафедра гражданско-правовых дисциплин</t>
  </si>
  <si>
    <t>Кафедра уголовно-правовых дисциплин</t>
  </si>
  <si>
    <t>Кафедра теории и истории российского и зарубежного права</t>
  </si>
  <si>
    <t>Кафедра философии и юридической психологии</t>
  </si>
  <si>
    <t>Центр психологической помощи и поддержки</t>
  </si>
  <si>
    <t>Кафедра международных отношений и права</t>
  </si>
  <si>
    <t>Кафедра конституционного и административного права</t>
  </si>
  <si>
    <t>Институт креативных индустрий</t>
  </si>
  <si>
    <t>Кафедра дизайна и технологий</t>
  </si>
  <si>
    <t>Колледж индустрии моды и красоты</t>
  </si>
  <si>
    <t>Мастерская по компетенции "Реклама"</t>
  </si>
  <si>
    <t>Учебно-лабораторный комплекс</t>
  </si>
  <si>
    <t>Институт нефтегазового дела, транспорта и логистики</t>
  </si>
  <si>
    <t>Кафедра транспортных процессов и технологий</t>
  </si>
  <si>
    <t>Учебно-методический центр безопасности дорожного движения</t>
  </si>
  <si>
    <t>Учебно-производственный комплекс</t>
  </si>
  <si>
    <t>Кафедра нефтегазового дела</t>
  </si>
  <si>
    <t>Институт маркетинга и коммерческой деятельности</t>
  </si>
  <si>
    <t>Кафедра маркетинга и торговли</t>
  </si>
  <si>
    <t xml:space="preserve">Институт цифровой экономики и бизнес-аналитики </t>
  </si>
  <si>
    <t>Кафедра математики и моделирования</t>
  </si>
  <si>
    <t>Кафедра информационной безопасности</t>
  </si>
  <si>
    <t xml:space="preserve">Институт физической культуры и спорта </t>
  </si>
  <si>
    <t>Кафедра физкультурно-оздоровительной и спортивной работы</t>
  </si>
  <si>
    <t>Спортивный комплекс "Чемпион"</t>
  </si>
  <si>
    <t>Отдел управления фитнесом</t>
  </si>
  <si>
    <t>Технический отдел</t>
  </si>
  <si>
    <t>Отдел по взаимодействию с внутренними и внешними контрагентами</t>
  </si>
  <si>
    <t>Отдел по работе с клиентами</t>
  </si>
  <si>
    <t>Центр профессионального развития в индустрии спорта и фитнеса</t>
  </si>
  <si>
    <t>Институт информационных технологий</t>
  </si>
  <si>
    <t>Кафедра информационных технологий и систем</t>
  </si>
  <si>
    <t xml:space="preserve">Лаборатория цифрового моделирования и анализа данных физики и биомедицины </t>
  </si>
  <si>
    <t>Институт международного бизнеса, экономики и управления</t>
  </si>
  <si>
    <t>Кафедра экономики и управления</t>
  </si>
  <si>
    <t>Научная лаборатория региональных исследований</t>
  </si>
  <si>
    <t>Высшая школа кино и телевидения</t>
  </si>
  <si>
    <t>Институт постдипломного образования</t>
  </si>
  <si>
    <t>IT-колледж (IThub Владивосток)</t>
  </si>
  <si>
    <t>Международный институт подготовки и адаптации иностранных граждан</t>
  </si>
  <si>
    <t>Отдел по социальной и культурной адаптации</t>
  </si>
  <si>
    <t>Подготовительное отделение для иностранных граждан</t>
  </si>
  <si>
    <t xml:space="preserve">Колледж сервиса и дизайна </t>
  </si>
  <si>
    <t>Центр профессиональной ориентации и сопровождения обучающихся</t>
  </si>
  <si>
    <t xml:space="preserve">Медицинский центр </t>
  </si>
  <si>
    <t>Управление комплексной безопасности</t>
  </si>
  <si>
    <t>Отдел охраны труда и пожарной безопасности</t>
  </si>
  <si>
    <t>Отдел обеспечения безопасности</t>
  </si>
  <si>
    <t>Отдел по делам гражданской обороны и чрезвычайных ситуаций</t>
  </si>
  <si>
    <t xml:space="preserve">Управление по содержанию помещений и территорий </t>
  </si>
  <si>
    <t>Служба хозяйственного обеспечения</t>
  </si>
  <si>
    <t>Ремонтно-восстановительная  служба</t>
  </si>
  <si>
    <t>Отдел эксплуатации, строительства и ремонтов</t>
  </si>
  <si>
    <t>Отдел управления имуществом</t>
  </si>
  <si>
    <t>Студенческий  городок</t>
  </si>
  <si>
    <t>Управление молодежной политики</t>
  </si>
  <si>
    <t>Спортивный студенческий клуб</t>
  </si>
  <si>
    <t>Первый проректор</t>
  </si>
  <si>
    <t>Департамент организации учебной деятельности</t>
  </si>
  <si>
    <t>Отдел образовательных программ и стандартов</t>
  </si>
  <si>
    <t>Учебный отдел</t>
  </si>
  <si>
    <t>Управление по работе со студентами</t>
  </si>
  <si>
    <t>Студенческий офис</t>
  </si>
  <si>
    <t>Организационно-студенческий отдел</t>
  </si>
  <si>
    <t>Отдел приема документов</t>
  </si>
  <si>
    <t>Центр молодежной политики и студенческих объединений</t>
  </si>
  <si>
    <t>Учебно-аналитический отдел</t>
  </si>
  <si>
    <t>Приемная комиссия</t>
  </si>
  <si>
    <t>Департамент мониторинга и развития профессионального образования</t>
  </si>
  <si>
    <t>Отдел проектов и программ</t>
  </si>
  <si>
    <t>Центр мониторинга и развития профессионального образования</t>
  </si>
  <si>
    <t>Департамент научно-исследовательской работы</t>
  </si>
  <si>
    <t>Научно-исследовательский центр</t>
  </si>
  <si>
    <t>Научно-образовательный центр "Развитие социально-экономических систем"</t>
  </si>
  <si>
    <t>Лаборатория стратегического планирования</t>
  </si>
  <si>
    <t>Научно-образовательный центр педагогики и психологии профессионального развития личности</t>
  </si>
  <si>
    <t>Лаборатория фундаментальной и прикладной физики</t>
  </si>
  <si>
    <t>Лаборатория химии и технологии функциональных материалов</t>
  </si>
  <si>
    <t>Лаборатория комплексных исследований детства</t>
  </si>
  <si>
    <t>Лаборатория социально-экономических и политико-правовых исследований</t>
  </si>
  <si>
    <t>Научно-образовательный центр "Горный центр"</t>
  </si>
  <si>
    <t>Институт подготовки кадров высшей квалификации</t>
  </si>
  <si>
    <t>Центр научных исследований, проектов и программ</t>
  </si>
  <si>
    <t>Отдел организации научно-исследовательской работы</t>
  </si>
  <si>
    <t>Отдел аспирантуры и докторантуры</t>
  </si>
  <si>
    <t>Департамент международной и культурной деятельности</t>
  </si>
  <si>
    <t>Отдел протокола, виз и регистраций</t>
  </si>
  <si>
    <t>Отдел международной академической мобильности</t>
  </si>
  <si>
    <t>Отдел международных образовательных программ</t>
  </si>
  <si>
    <t xml:space="preserve">Центр экспертизы иностранных документов об образовании </t>
  </si>
  <si>
    <t>Учебно-сварочный центр</t>
  </si>
  <si>
    <t>Проректор по цифровому развитию и информационной политике</t>
  </si>
  <si>
    <t>Департамент цифрового развития</t>
  </si>
  <si>
    <t>Отдел интеллектуального анализа данных</t>
  </si>
  <si>
    <t>Центр обеспечения образовательных инноваций</t>
  </si>
  <si>
    <t>Отдел цифровизации образования</t>
  </si>
  <si>
    <t>Центр информационно-технического обеспечения</t>
  </si>
  <si>
    <t>Ресурсный центр ИТ-инфраструктуры</t>
  </si>
  <si>
    <t>Департамент маркетинга и информационной политики</t>
  </si>
  <si>
    <t>Пресс-служба</t>
  </si>
  <si>
    <t>Центр "Абитуриент"</t>
  </si>
  <si>
    <t>Инновационный бизнес-инкубатор</t>
  </si>
  <si>
    <t>Бюро интеллектуальной собственности</t>
  </si>
  <si>
    <t>Департамент экономики и финансов</t>
  </si>
  <si>
    <t>Отдел экономики и планирования</t>
  </si>
  <si>
    <t>Служба документационного обеспечения управления</t>
  </si>
  <si>
    <t>Общий отдел</t>
  </si>
  <si>
    <t>Отдел по работе с персоналом</t>
  </si>
  <si>
    <t>Департамент бухгалтерского учета</t>
  </si>
  <si>
    <t>Материальный отдел</t>
  </si>
  <si>
    <t>Отдел ведения договоров</t>
  </si>
  <si>
    <t>Отдел учета доходов и налогообложения</t>
  </si>
  <si>
    <t>Проректор по академической политике</t>
  </si>
  <si>
    <t>Заместитель проректора по академической политике</t>
  </si>
  <si>
    <t xml:space="preserve"> Управление делового сотрудничества</t>
  </si>
  <si>
    <t>Региональный центр "Старт-карьера"</t>
  </si>
  <si>
    <t>Центр проектного обучения</t>
  </si>
  <si>
    <t xml:space="preserve">Центр "Точка кипения" </t>
  </si>
  <si>
    <t>Управление развития образования</t>
  </si>
  <si>
    <t>Ресурсный информационно-методический центр</t>
  </si>
  <si>
    <t>Отдел методического обеспечения учебного процесса</t>
  </si>
  <si>
    <t>Отдел индивидуализации образования</t>
  </si>
  <si>
    <t>Ресурсный центр прикладного анализа данных</t>
  </si>
  <si>
    <t>Отдел судебно-претензионной работы</t>
  </si>
  <si>
    <t>Филиал ФГБОУ ВО "ВВГУ" в г. Находке</t>
  </si>
  <si>
    <t>Отдел хозяйственного обеспечения</t>
  </si>
  <si>
    <t>Отдел учебно-воспитательной и научной работы</t>
  </si>
  <si>
    <t>Центр информационных технологий</t>
  </si>
  <si>
    <t>Кафедра гуманитарных и социально-экономических дисциплин</t>
  </si>
  <si>
    <t>Управление защиты государственной тайны и мобилизации</t>
  </si>
  <si>
    <t>Отдел защиты государственной тайны</t>
  </si>
  <si>
    <t>Отдел по мобилизационной работе</t>
  </si>
  <si>
    <t>Филиал ФГБОУ ВО "ВВГУ" в г. Артеме</t>
  </si>
  <si>
    <t>Отделение специальностей среднего профессионального образования</t>
  </si>
  <si>
    <t>Информационно-технический центр</t>
  </si>
  <si>
    <t xml:space="preserve">Административно-хозяйственная часть </t>
  </si>
  <si>
    <t>Филиал ФГБОУ ВО "ВВГУ" в г. Уссурийске</t>
  </si>
  <si>
    <t>Административно-хозяйственный отдел</t>
  </si>
  <si>
    <t>ЦФО</t>
  </si>
  <si>
    <t>Сумма по полю Ставок по Плану</t>
  </si>
  <si>
    <t>Общий итог</t>
  </si>
  <si>
    <t>001   ВГУЭС   Владивостокский Государственный Университет Экономики и Сервиса</t>
  </si>
  <si>
    <t>120   МИОСТ   Международный институт окружающей среды и туризма</t>
  </si>
  <si>
    <t>130   ИПЛ   Институт педагогики и лингвистики</t>
  </si>
  <si>
    <t>180   ИЗДО   Институт заочного дистанционного обучения</t>
  </si>
  <si>
    <t>140   ИП   Институт права</t>
  </si>
  <si>
    <t>142   ФЮП   Кафедра философии и юридической психологии</t>
  </si>
  <si>
    <t>110   ИКИ   Институт креативных индустрий</t>
  </si>
  <si>
    <t>150   ИНДТЛ   Институт нефтегазового дела, транспорта и логистики</t>
  </si>
  <si>
    <t>164  ИМКД   Институт маркетинга и коммерческой деятельности</t>
  </si>
  <si>
    <t>161   ИЦЭБА   Институт цифровой экономики и бизнес аналитики</t>
  </si>
  <si>
    <t>810   ИФКС   Институт физической культуры и спорта</t>
  </si>
  <si>
    <t>170   ИИТ   Институт информационных технологий</t>
  </si>
  <si>
    <t>169   ИМБЭУ   Институт международного бизнеса, экономики и управления</t>
  </si>
  <si>
    <t>165   ВШКТВ   Высшая школа кино и телевидения</t>
  </si>
  <si>
    <t>882   ИПО   Институт постдипломного образования</t>
  </si>
  <si>
    <t>250   IT колледж (IThub Владивосток)</t>
  </si>
  <si>
    <t>135   МИПАИГ   Международный институт подготовки и адаптации иностранных граждан</t>
  </si>
  <si>
    <t>292   КСД   Колледж сервиса и дизайна</t>
  </si>
  <si>
    <t>220   АК   Академический колледж</t>
  </si>
  <si>
    <t>007   Проректор по комплексной безопасности</t>
  </si>
  <si>
    <t>721 Медицинский центр</t>
  </si>
  <si>
    <t>725 УКБ Управление комплексной белопасности</t>
  </si>
  <si>
    <t>003   Советник ректора</t>
  </si>
  <si>
    <t>715   УСПТ   Управление по содержанию помещений и территорий</t>
  </si>
  <si>
    <t>719   ОЭСР   Отдел эксплуатации, строительства и ремонтов</t>
  </si>
  <si>
    <t>718   Служба снабжения</t>
  </si>
  <si>
    <t>706   ОУИ   Отдел управления имуществом</t>
  </si>
  <si>
    <t>840   Студенческий городок</t>
  </si>
  <si>
    <t>713   Транспортная служба</t>
  </si>
  <si>
    <t>008   Проректор по молодежной политике и воспитательной работе</t>
  </si>
  <si>
    <t>890   УМП   Управление молодежной политики</t>
  </si>
  <si>
    <t>005   Первый проректор</t>
  </si>
  <si>
    <t>450   ДОУД   Департамент организации учебной деятельности</t>
  </si>
  <si>
    <t>870   УРС   Управление по работе со студентами</t>
  </si>
  <si>
    <t>010   Приемная комиссия</t>
  </si>
  <si>
    <t>710   ДМРПО   Департамент мониторинга и развития профессионального образования</t>
  </si>
  <si>
    <t>420   ДНИР   Департамент научно исследовательской работы</t>
  </si>
  <si>
    <t>830   ДМКД   Департамент международной и культурной деятельности</t>
  </si>
  <si>
    <t>230   Учебно сварочный центр</t>
  </si>
  <si>
    <t>004   Проректор по цифровому развитию и информационной политике</t>
  </si>
  <si>
    <t>700   ДЦР   Департамент цифрового развития</t>
  </si>
  <si>
    <t>711   ДМИП</t>
  </si>
  <si>
    <t>850   ИБИ   Инновационный бизнес инкубатор</t>
  </si>
  <si>
    <t>006   Проректор по экономической и кадровой политики</t>
  </si>
  <si>
    <t>800   ДЭФ   Департамент экономики и финансов</t>
  </si>
  <si>
    <t>707   ДБУ   Департамент бухгалтерского учета</t>
  </si>
  <si>
    <t>011   Проректор по академической политике</t>
  </si>
  <si>
    <t>009   Заместитель проректора по академичсекой политике</t>
  </si>
  <si>
    <t>825   УРО   Управление развития образования</t>
  </si>
  <si>
    <t>826   РЦ ПАД   Ресурсный центр прикладного анализа данных</t>
  </si>
  <si>
    <t>708   ЮС   Юридическая служба</t>
  </si>
  <si>
    <t>930   Филиал ФГБОУ ВО "ВГУЭС" в г. Находка</t>
  </si>
  <si>
    <t>723   УЗГТиМ   Управление защиты государственной тайны и мобилизации</t>
  </si>
  <si>
    <t>920   Филиал ФГБОУ ВО "ВГУЭС" в г. Артеме</t>
  </si>
  <si>
    <t>910   Филиал ФГБОУ ВО "ВГУЭС" в г. Уссурийске</t>
  </si>
  <si>
    <t>915   Филиал ФГБОУ ВО "ВГУЭС" в г. Уссурийске (Пед. Институт)</t>
  </si>
  <si>
    <t>Наименование</t>
  </si>
  <si>
    <t>Корректор ленточный</t>
  </si>
  <si>
    <t>Клей-карандаш</t>
  </si>
  <si>
    <t>Карандаш простой ченографитный</t>
  </si>
  <si>
    <t>по требованию</t>
  </si>
  <si>
    <t>на 01.10.2022</t>
  </si>
  <si>
    <t>служебные записки на увеличение норм бумаги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</si>
</sst>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25" x14ac:knownFonts="1">
    <font>
      <sz val="11"/>
      <color theme="1"/>
      <name val="Calibri"/>
      <family val="2"/>
      <charset val="204"/>
      <scheme val="minor"/>
    </font>
    <font>
      <sz val="14"/>
      <name val="Arial Cyr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indexed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rgb="FF0000FF"/>
      <name val="Times New Roman"/>
      <family val="1"/>
      <charset val="204"/>
    </font>
    <font>
      <b/>
      <sz val="11"/>
      <color rgb="FF0000FF"/>
      <name val="Times New Roman"/>
      <family val="1"/>
      <charset val="204"/>
    </font>
    <font>
      <b/>
      <sz val="12"/>
      <color rgb="FF0000FF"/>
      <name val="Times New Roman"/>
      <family val="1"/>
      <charset val="204"/>
    </font>
    <font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rgb="FF0000FF"/>
      <name val="Calibri"/>
      <family val="2"/>
      <charset val="204"/>
      <scheme val="minor"/>
    </font>
    <font>
      <b/>
      <sz val="8"/>
      <color rgb="FF0000FF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156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6" fillId="0" borderId="1" xfId="0" applyFont="1" applyFill="1" applyBorder="1"/>
    <xf numFmtId="0" fontId="6" fillId="0" borderId="1" xfId="0" applyFont="1" applyBorder="1" applyAlignment="1">
      <alignment wrapText="1"/>
    </xf>
    <xf numFmtId="0" fontId="2" fillId="0" borderId="1" xfId="0" applyFont="1" applyFill="1" applyBorder="1"/>
    <xf numFmtId="0" fontId="2" fillId="0" borderId="1" xfId="0" applyFont="1" applyBorder="1" applyAlignment="1">
      <alignment wrapText="1"/>
    </xf>
    <xf numFmtId="2" fontId="5" fillId="2" borderId="1" xfId="0" applyNumberFormat="1" applyFont="1" applyFill="1" applyBorder="1" applyAlignment="1">
      <alignment horizontal="right" wrapText="1"/>
    </xf>
    <xf numFmtId="2" fontId="5" fillId="2" borderId="1" xfId="0" applyNumberFormat="1" applyFont="1" applyFill="1" applyBorder="1" applyAlignment="1">
      <alignment horizontal="right"/>
    </xf>
    <xf numFmtId="164" fontId="4" fillId="3" borderId="1" xfId="0" applyNumberFormat="1" applyFont="1" applyFill="1" applyBorder="1"/>
    <xf numFmtId="1" fontId="4" fillId="0" borderId="1" xfId="0" applyNumberFormat="1" applyFont="1" applyFill="1" applyBorder="1"/>
    <xf numFmtId="1" fontId="4" fillId="0" borderId="1" xfId="0" applyNumberFormat="1" applyFont="1" applyBorder="1"/>
    <xf numFmtId="1" fontId="4" fillId="4" borderId="1" xfId="0" applyNumberFormat="1" applyFont="1" applyFill="1" applyBorder="1"/>
    <xf numFmtId="0" fontId="4" fillId="0" borderId="1" xfId="0" applyFont="1" applyFill="1" applyBorder="1"/>
    <xf numFmtId="2" fontId="8" fillId="2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164" fontId="5" fillId="2" borderId="1" xfId="0" applyNumberFormat="1" applyFont="1" applyFill="1" applyBorder="1" applyAlignment="1">
      <alignment horizontal="right"/>
    </xf>
    <xf numFmtId="0" fontId="0" fillId="0" borderId="1" xfId="0" applyBorder="1"/>
    <xf numFmtId="2" fontId="9" fillId="2" borderId="1" xfId="0" applyNumberFormat="1" applyFont="1" applyFill="1" applyBorder="1"/>
    <xf numFmtId="2" fontId="9" fillId="2" borderId="5" xfId="0" applyNumberFormat="1" applyFont="1" applyFill="1" applyBorder="1"/>
    <xf numFmtId="1" fontId="4" fillId="4" borderId="5" xfId="0" applyNumberFormat="1" applyFont="1" applyFill="1" applyBorder="1"/>
    <xf numFmtId="1" fontId="4" fillId="0" borderId="5" xfId="0" applyNumberFormat="1" applyFont="1" applyFill="1" applyBorder="1"/>
    <xf numFmtId="0" fontId="2" fillId="0" borderId="1" xfId="0" applyFont="1" applyFill="1" applyBorder="1" applyAlignment="1">
      <alignment wrapText="1"/>
    </xf>
    <xf numFmtId="2" fontId="4" fillId="3" borderId="1" xfId="0" applyNumberFormat="1" applyFont="1" applyFill="1" applyBorder="1"/>
    <xf numFmtId="49" fontId="2" fillId="0" borderId="1" xfId="0" applyNumberFormat="1" applyFont="1" applyFill="1" applyBorder="1"/>
    <xf numFmtId="49" fontId="2" fillId="0" borderId="1" xfId="0" quotePrefix="1" applyNumberFormat="1" applyFont="1" applyFill="1" applyBorder="1"/>
    <xf numFmtId="2" fontId="10" fillId="2" borderId="1" xfId="0" applyNumberFormat="1" applyFont="1" applyFill="1" applyBorder="1"/>
    <xf numFmtId="0" fontId="0" fillId="0" borderId="0" xfId="0" applyFill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1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wrapText="1"/>
    </xf>
    <xf numFmtId="1" fontId="11" fillId="3" borderId="1" xfId="0" applyNumberFormat="1" applyFont="1" applyFill="1" applyBorder="1" applyAlignment="1">
      <alignment horizontal="center" vertical="center"/>
    </xf>
    <xf numFmtId="2" fontId="9" fillId="5" borderId="1" xfId="0" applyNumberFormat="1" applyFont="1" applyFill="1" applyBorder="1"/>
    <xf numFmtId="0" fontId="2" fillId="0" borderId="0" xfId="0" applyFont="1" applyFill="1" applyBorder="1"/>
    <xf numFmtId="0" fontId="2" fillId="0" borderId="1" xfId="0" quotePrefix="1" applyFont="1" applyFill="1" applyBorder="1" applyAlignment="1">
      <alignment wrapText="1"/>
    </xf>
    <xf numFmtId="49" fontId="2" fillId="0" borderId="1" xfId="0" quotePrefix="1" applyNumberFormat="1" applyFont="1" applyFill="1" applyBorder="1" applyAlignment="1">
      <alignment horizontal="left"/>
    </xf>
    <xf numFmtId="0" fontId="0" fillId="0" borderId="0" xfId="0" applyFill="1"/>
    <xf numFmtId="0" fontId="0" fillId="0" borderId="0" xfId="0" applyAlignment="1">
      <alignment wrapText="1"/>
    </xf>
    <xf numFmtId="0" fontId="4" fillId="0" borderId="0" xfId="0" applyFont="1" applyFill="1" applyBorder="1"/>
    <xf numFmtId="0" fontId="4" fillId="0" borderId="0" xfId="0" applyFont="1"/>
    <xf numFmtId="2" fontId="0" fillId="0" borderId="0" xfId="0" applyNumberFormat="1"/>
    <xf numFmtId="2" fontId="7" fillId="0" borderId="0" xfId="0" applyNumberFormat="1" applyFont="1"/>
    <xf numFmtId="1" fontId="4" fillId="3" borderId="1" xfId="0" applyNumberFormat="1" applyFont="1" applyFill="1" applyBorder="1"/>
    <xf numFmtId="0" fontId="15" fillId="0" borderId="0" xfId="0" applyFont="1"/>
    <xf numFmtId="0" fontId="15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horizontal="left" vertical="top" wrapText="1"/>
    </xf>
    <xf numFmtId="0" fontId="15" fillId="0" borderId="0" xfId="0" applyFont="1" applyAlignment="1">
      <alignment wrapText="1"/>
    </xf>
    <xf numFmtId="0" fontId="15" fillId="0" borderId="1" xfId="0" applyFont="1" applyBorder="1"/>
    <xf numFmtId="0" fontId="15" fillId="0" borderId="1" xfId="0" applyFont="1" applyFill="1" applyBorder="1" applyAlignment="1">
      <alignment wrapText="1"/>
    </xf>
    <xf numFmtId="43" fontId="18" fillId="0" borderId="0" xfId="1" applyFont="1"/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5" fillId="0" borderId="1" xfId="0" quotePrefix="1" applyFont="1" applyBorder="1" applyAlignment="1">
      <alignment wrapText="1"/>
    </xf>
    <xf numFmtId="1" fontId="15" fillId="0" borderId="1" xfId="0" applyNumberFormat="1" applyFont="1" applyFill="1" applyBorder="1" applyAlignment="1">
      <alignment wrapText="1"/>
    </xf>
    <xf numFmtId="1" fontId="15" fillId="0" borderId="5" xfId="0" applyNumberFormat="1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0" xfId="0" applyFont="1" applyFill="1" applyAlignment="1">
      <alignment wrapText="1"/>
    </xf>
    <xf numFmtId="0" fontId="18" fillId="0" borderId="0" xfId="0" applyFont="1"/>
    <xf numFmtId="0" fontId="19" fillId="0" borderId="1" xfId="0" applyFont="1" applyBorder="1" applyAlignment="1">
      <alignment horizontal="center" vertical="center" wrapText="1"/>
    </xf>
    <xf numFmtId="164" fontId="15" fillId="0" borderId="4" xfId="0" applyNumberFormat="1" applyFont="1" applyFill="1" applyBorder="1" applyAlignment="1">
      <alignment wrapText="1"/>
    </xf>
    <xf numFmtId="2" fontId="15" fillId="0" borderId="4" xfId="0" applyNumberFormat="1" applyFont="1" applyFill="1" applyBorder="1" applyAlignment="1">
      <alignment wrapText="1"/>
    </xf>
    <xf numFmtId="1" fontId="15" fillId="0" borderId="4" xfId="0" applyNumberFormat="1" applyFont="1" applyFill="1" applyBorder="1" applyAlignment="1">
      <alignment wrapText="1"/>
    </xf>
    <xf numFmtId="1" fontId="15" fillId="0" borderId="4" xfId="0" applyNumberFormat="1" applyFont="1" applyFill="1" applyBorder="1" applyAlignment="1">
      <alignment horizontal="center" vertical="center" wrapText="1"/>
    </xf>
    <xf numFmtId="1" fontId="16" fillId="0" borderId="4" xfId="0" applyNumberFormat="1" applyFont="1" applyFill="1" applyBorder="1" applyAlignment="1">
      <alignment horizontal="center" vertical="center" wrapText="1"/>
    </xf>
    <xf numFmtId="1" fontId="15" fillId="0" borderId="8" xfId="0" applyNumberFormat="1" applyFont="1" applyFill="1" applyBorder="1" applyAlignment="1">
      <alignment horizontal="center" vertical="center" wrapText="1"/>
    </xf>
    <xf numFmtId="1" fontId="15" fillId="0" borderId="9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vertical="center"/>
    </xf>
    <xf numFmtId="0" fontId="15" fillId="0" borderId="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2" fillId="2" borderId="4" xfId="0" applyFont="1" applyFill="1" applyBorder="1" applyAlignment="1">
      <alignment horizontal="centerContinuous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Continuous" vertical="center" wrapText="1"/>
    </xf>
    <xf numFmtId="0" fontId="22" fillId="0" borderId="0" xfId="0" applyFont="1" applyAlignment="1">
      <alignment wrapText="1"/>
    </xf>
    <xf numFmtId="0" fontId="22" fillId="0" borderId="0" xfId="0" applyFont="1"/>
    <xf numFmtId="0" fontId="15" fillId="0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wrapText="1"/>
    </xf>
    <xf numFmtId="0" fontId="23" fillId="0" borderId="0" xfId="0" applyFont="1" applyAlignment="1">
      <alignment horizontal="center" vertical="center" wrapText="1"/>
    </xf>
    <xf numFmtId="43" fontId="19" fillId="2" borderId="1" xfId="1" applyFont="1" applyFill="1" applyBorder="1" applyAlignment="1">
      <alignment vertical="center" wrapText="1"/>
    </xf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20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wrapText="1"/>
    </xf>
    <xf numFmtId="0" fontId="10" fillId="0" borderId="1" xfId="0" applyFont="1" applyFill="1" applyBorder="1" applyAlignment="1">
      <alignment horizontal="centerContinuous" vertical="center" wrapText="1"/>
    </xf>
    <xf numFmtId="0" fontId="10" fillId="0" borderId="1" xfId="0" applyFont="1" applyBorder="1" applyAlignment="1">
      <alignment horizontal="centerContinuous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2" fontId="15" fillId="0" borderId="8" xfId="0" applyNumberFormat="1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1" fontId="15" fillId="0" borderId="6" xfId="0" applyNumberFormat="1" applyFont="1" applyFill="1" applyBorder="1" applyAlignment="1">
      <alignment horizontal="center" vertical="center" wrapText="1"/>
    </xf>
    <xf numFmtId="1" fontId="15" fillId="0" borderId="5" xfId="0" applyNumberFormat="1" applyFont="1" applyFill="1" applyBorder="1" applyAlignment="1">
      <alignment horizontal="center" vertical="center" wrapText="1"/>
    </xf>
    <xf numFmtId="1" fontId="15" fillId="0" borderId="7" xfId="0" applyNumberFormat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2" fontId="15" fillId="0" borderId="9" xfId="0" applyNumberFormat="1" applyFont="1" applyFill="1" applyBorder="1" applyAlignment="1">
      <alignment horizontal="center" vertical="center" wrapText="1"/>
    </xf>
    <xf numFmtId="1" fontId="4" fillId="4" borderId="6" xfId="0" applyNumberFormat="1" applyFont="1" applyFill="1" applyBorder="1" applyAlignment="1">
      <alignment horizontal="center" vertical="center"/>
    </xf>
    <xf numFmtId="1" fontId="4" fillId="4" borderId="5" xfId="0" applyNumberFormat="1" applyFont="1" applyFill="1" applyBorder="1" applyAlignment="1">
      <alignment horizontal="center" vertical="center"/>
    </xf>
    <xf numFmtId="1" fontId="4" fillId="4" borderId="7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6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T225"/>
  <sheetViews>
    <sheetView tabSelected="1" zoomScale="85" zoomScaleNormal="85" workbookViewId="0">
      <pane ySplit="5" topLeftCell="A6" activePane="bottomLeft" state="frozen"/>
      <selection pane="bottomLeft" activeCell="G66" sqref="G66"/>
    </sheetView>
  </sheetViews>
  <sheetFormatPr defaultColWidth="9.140625" defaultRowHeight="15.75" x14ac:dyDescent="0.25"/>
  <cols>
    <col min="1" max="1" width="42.5703125" style="85" customWidth="1"/>
    <col min="2" max="2" width="13.7109375" style="84" customWidth="1"/>
    <col min="3" max="3" width="26" style="85" customWidth="1"/>
    <col min="4" max="4" width="13.28515625" style="61" customWidth="1"/>
    <col min="5" max="7" width="14.28515625" style="61" customWidth="1"/>
    <col min="8" max="8" width="16.7109375" style="61" customWidth="1"/>
    <col min="9" max="17" width="14.28515625" style="61" customWidth="1"/>
    <col min="18" max="19" width="9.140625" style="61"/>
    <col min="20" max="16384" width="9.140625" style="53"/>
  </cols>
  <sheetData>
    <row r="1" spans="1:20" ht="21.75" customHeight="1" x14ac:dyDescent="0.25">
      <c r="D1" s="101" t="s">
        <v>638</v>
      </c>
      <c r="E1" s="108">
        <f>SUBTOTAL(9,E7:E225)</f>
        <v>968</v>
      </c>
      <c r="F1" s="108">
        <f t="shared" ref="F1:N1" si="0">SUBTOTAL(9,F7:F225)</f>
        <v>1582</v>
      </c>
      <c r="G1" s="108">
        <f t="shared" si="0"/>
        <v>1582</v>
      </c>
      <c r="H1" s="108">
        <f t="shared" si="0"/>
        <v>1582</v>
      </c>
      <c r="I1" s="108">
        <f t="shared" si="0"/>
        <v>1582</v>
      </c>
      <c r="J1" s="108">
        <f t="shared" si="0"/>
        <v>1582</v>
      </c>
      <c r="K1" s="108">
        <f t="shared" si="0"/>
        <v>333</v>
      </c>
      <c r="L1" s="108">
        <f t="shared" si="0"/>
        <v>333</v>
      </c>
      <c r="M1" s="108">
        <f t="shared" si="0"/>
        <v>333</v>
      </c>
      <c r="N1" s="108">
        <f t="shared" si="0"/>
        <v>333</v>
      </c>
    </row>
    <row r="2" spans="1:20" ht="43.5" customHeight="1" x14ac:dyDescent="0.25">
      <c r="A2" s="111" t="s">
        <v>574</v>
      </c>
      <c r="B2" s="116" t="s">
        <v>23</v>
      </c>
      <c r="C2" s="116" t="s">
        <v>633</v>
      </c>
      <c r="D2" s="103">
        <f>SUBTOTAL(9,D6:D225)</f>
        <v>1551.6499999999999</v>
      </c>
      <c r="E2" s="88" t="s">
        <v>1</v>
      </c>
      <c r="F2" s="88" t="s">
        <v>2</v>
      </c>
      <c r="G2" s="88" t="s">
        <v>3</v>
      </c>
      <c r="H2" s="88" t="s">
        <v>636</v>
      </c>
      <c r="I2" s="88" t="s">
        <v>7</v>
      </c>
      <c r="J2" s="90" t="s">
        <v>10</v>
      </c>
      <c r="K2" s="88" t="s">
        <v>634</v>
      </c>
      <c r="L2" s="88" t="s">
        <v>8</v>
      </c>
      <c r="M2" s="88" t="s">
        <v>9</v>
      </c>
      <c r="N2" s="88" t="s">
        <v>635</v>
      </c>
      <c r="O2" s="88" t="s">
        <v>11</v>
      </c>
      <c r="P2" s="88" t="s">
        <v>12</v>
      </c>
      <c r="Q2" s="88" t="s">
        <v>13</v>
      </c>
    </row>
    <row r="3" spans="1:20" ht="43.5" customHeight="1" x14ac:dyDescent="0.25">
      <c r="A3" s="112"/>
      <c r="B3" s="117"/>
      <c r="C3" s="117"/>
      <c r="D3" s="102" t="s">
        <v>25</v>
      </c>
      <c r="E3" s="89" t="s">
        <v>15</v>
      </c>
      <c r="F3" s="89" t="s">
        <v>16</v>
      </c>
      <c r="G3" s="89" t="s">
        <v>16</v>
      </c>
      <c r="H3" s="89" t="s">
        <v>17</v>
      </c>
      <c r="I3" s="89" t="s">
        <v>17</v>
      </c>
      <c r="J3" s="91" t="s">
        <v>15</v>
      </c>
      <c r="K3" s="89" t="s">
        <v>18</v>
      </c>
      <c r="L3" s="89" t="s">
        <v>19</v>
      </c>
      <c r="M3" s="89" t="s">
        <v>18</v>
      </c>
      <c r="N3" s="89" t="s">
        <v>18</v>
      </c>
      <c r="O3" s="89"/>
      <c r="P3" s="89" t="s">
        <v>20</v>
      </c>
      <c r="Q3" s="89" t="s">
        <v>20</v>
      </c>
      <c r="S3" s="107"/>
      <c r="T3" s="53" t="s">
        <v>639</v>
      </c>
    </row>
    <row r="4" spans="1:20" s="99" customFormat="1" ht="21.75" customHeight="1" x14ac:dyDescent="0.15">
      <c r="A4" s="113" t="s">
        <v>21</v>
      </c>
      <c r="B4" s="114"/>
      <c r="C4" s="115"/>
      <c r="D4" s="95"/>
      <c r="E4" s="96">
        <v>0.5</v>
      </c>
      <c r="F4" s="96">
        <v>1</v>
      </c>
      <c r="G4" s="96">
        <v>1</v>
      </c>
      <c r="H4" s="96">
        <v>1</v>
      </c>
      <c r="I4" s="96">
        <v>1</v>
      </c>
      <c r="J4" s="96">
        <v>1</v>
      </c>
      <c r="K4" s="96">
        <v>1</v>
      </c>
      <c r="L4" s="96">
        <v>1</v>
      </c>
      <c r="M4" s="96">
        <v>1</v>
      </c>
      <c r="N4" s="96">
        <v>1</v>
      </c>
      <c r="O4" s="97" t="s">
        <v>22</v>
      </c>
      <c r="P4" s="97"/>
      <c r="Q4" s="97"/>
      <c r="R4" s="98"/>
      <c r="S4" s="98"/>
    </row>
    <row r="5" spans="1:20" s="105" customFormat="1" ht="21" customHeight="1" x14ac:dyDescent="0.2">
      <c r="A5" s="106">
        <v>1</v>
      </c>
      <c r="B5" s="106">
        <v>2</v>
      </c>
      <c r="C5" s="106">
        <v>3</v>
      </c>
      <c r="D5" s="106">
        <v>4</v>
      </c>
      <c r="E5" s="106">
        <v>5</v>
      </c>
      <c r="F5" s="106">
        <v>6</v>
      </c>
      <c r="G5" s="106">
        <v>7</v>
      </c>
      <c r="H5" s="106">
        <v>8</v>
      </c>
      <c r="I5" s="106">
        <v>9</v>
      </c>
      <c r="J5" s="106">
        <v>10</v>
      </c>
      <c r="K5" s="106">
        <v>11</v>
      </c>
      <c r="L5" s="106">
        <v>12</v>
      </c>
      <c r="M5" s="106">
        <v>13</v>
      </c>
      <c r="N5" s="106">
        <v>14</v>
      </c>
      <c r="O5" s="106">
        <v>15</v>
      </c>
      <c r="P5" s="106">
        <v>16</v>
      </c>
      <c r="Q5" s="106">
        <v>17</v>
      </c>
      <c r="R5" s="104"/>
      <c r="S5" s="104"/>
    </row>
    <row r="6" spans="1:20" s="87" customFormat="1" ht="43.5" customHeight="1" x14ac:dyDescent="0.25">
      <c r="A6" s="94" t="s">
        <v>577</v>
      </c>
      <c r="B6" s="58">
        <v>1</v>
      </c>
      <c r="C6" s="93" t="s">
        <v>28</v>
      </c>
      <c r="D6" s="92">
        <v>5.25</v>
      </c>
      <c r="E6" s="109" t="s">
        <v>637</v>
      </c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86"/>
      <c r="S6" s="86"/>
    </row>
    <row r="7" spans="1:20" ht="43.5" customHeight="1" x14ac:dyDescent="0.25">
      <c r="A7" s="94" t="s">
        <v>578</v>
      </c>
      <c r="B7" s="58">
        <v>1002</v>
      </c>
      <c r="C7" s="94" t="s">
        <v>411</v>
      </c>
      <c r="D7" s="92">
        <v>4</v>
      </c>
      <c r="E7" s="100">
        <f>IF($D7*$E$4&lt;1.5,1,IF($D7*$E$4&gt;=1.5,2,0))</f>
        <v>2</v>
      </c>
      <c r="F7" s="58">
        <f>IF(AND($D7*$F$4&gt;=0,$D7&lt;1.5),1,IF(AND($D7*$F$4&gt;=1.5,$D7&lt;2.5),2,IF(AND($D7*$F$4&gt;=2.5,$D7&lt;3.5),3,IF(AND($D7*$F$4&gt;=3.5,$D7&lt;4.5),4,IF(AND($D7*$F$4&gt;=4.5,$D7&lt;5.5),5,IF(AND($D7*$F$4&gt;=5.5,$D7&lt;6.5),6,IF(AND($D7*$F$4&gt;=6.5,$D7&lt;7.5),7,IF(AND($D7*$F$4&gt;=7.5,$D7&lt;8.5),8,IF(AND($D7*$F$4&gt;=8.5,$D7&lt;9.5),9,IF(AND($D7*$F$4&gt;=9.5,$D7&lt;10.5),10,IF(AND($D7*$F$4&gt;=10.5,$D7&lt;11.5),11,IF(AND($D7*$F$4&gt;=11.5,$D7&lt;12.5),12,IF(AND($D7*$F$4&gt;=12.5,$D7&lt;13.5),13,IF(AND($D7*$F$4&gt;=13.5,$D7&lt;14.5),14,IF(AND($D7*$F$4&gt;=14.5,$D7&lt;15.5),15,IF(AND($D7*$F$4&gt;=15.5,$D7&lt;16.5),16,IF(AND($D7*$F$4&gt;=16.5,$D7&lt;17.5),17,IF(AND($D7*$F$4&gt;=17.5,$D7&lt;18.5),18,IF(AND($D7*$F$4&gt;=18.5,$D7&lt;19.5),19,IF(AND($D7*$F$4&gt;=19.5,$D7&lt;20.5),20,IF(AND($D7*$F$4&gt;=20.5,$D7&lt;21.5),21,IF(AND($D7*$F$4&gt;=21.5,$D7&lt;22.5),22,IF(AND($D7*$F$4&gt;=22.5,$D7&lt;23.5),23,IF(AND($D7*$F$4&gt;=23.5,$D7&lt;24.5),24,IF(AND($D7*$F$4&gt;=24.5,$D7&lt;25.5),25,IF(AND($D7*$F$4&gt;=25.5,$D7&lt;26.5),26,IF(AND($D7*$F$4&gt;=26.5,$D7&lt;27.5),27,IF(AND($D7*$F$4&gt;=27.5,$D7&lt;28.5),28,IF(AND($D7*$F$4&gt;=28.5,$D7&lt;29.5),29,IF(AND($D7*$F$4&gt;=29.5,$D7&lt;30.5),30,IF(AND($D7*$F$4&gt;=30.5,$D7&lt;31.5),31,IF(AND($D7*$F$4&gt;=31.5,$D7&lt;32.5),32,IF(AND($D7*$F$4&gt;=32.5,$D7&lt;33.5),33,IF(AND($D7*$F$4&gt;=33.5,$D7&lt;34.5),34,IF(AND($D7*$F$4&gt;=34.5,$D7&lt;35.5),35,IF(AND($D7*$F$4&gt;=35.5,$D7&lt;36.5),36,IF(AND($D7*$F$4&gt;=36.5,$D7&lt;37.5),37,IF(AND($D7*$F$4&gt;=37.5,$D7&lt;38.5),38,IF(AND($D7*$F$4&gt;=38.5,$D7&lt;39.5),39,IF(AND($D7*$F$4&gt;=39.5,$D7&lt;40.5),40,IF(AND($D7*$F$4&gt;=40.5,$D7&lt;41.5),41,IF(AND($D7*$F$4&gt;=41.5,$D7&lt;42.5),42,IF(AND($D7*$F$4&gt;=42.5,$D7&lt;43.5),43,IF(AND($D7*$F$4&gt;=43.5,$D7&lt;44.5),44,IF(AND($D7*$F$4&gt;=44.5,$D7&lt;45.5),45,IF(AND($D7*$F$4&gt;=45.5,$D7&lt;46.5),46,IF(AND($D7*$F$4&gt;=46.5,$D7&lt;47.5),47,IF(AND($D7*$F$4&gt;=47.5,$D7&lt;48.5),48,IF(AND($D7*$F$4&gt;=48.5,$D7&lt;49.5),49,IF(AND($D7*$F$4&gt;=49.5,$D7&lt;50.5),50,IF(AND($D7*$F$4&gt;=50.5,$D7&lt;51.5),51,IF(AND($D7*$F$4&gt;=51.5,$D7&lt;52.5),52,IF(AND($D7*$F$4&gt;=52.5,$D7&lt;53.5),53,IF(AND($D7*$F$4&gt;=53.5,$D7&lt;54.5),54,IF(AND($D7*$F$4&gt;=54.5,$D7&lt;55.5),55,IF(AND($D7*$F$4&gt;=55.5,$D7&lt;56.5),56,IF(AND($D7*$F$4&gt;=64.5,$D7&lt;65.5),65,IF(AND($D7*$F$4&gt;=65.5,$D7&lt;66.5),66,IF(AND($D7*$F$4&gt;=86.5,$D7&lt;87.5),87,IF(AND($D7*$F$4&gt;=87.5,$D7&lt;88.5),88,IF(AND($D7*$F$4&gt;=121.5,$D7&lt;122.5),122,IF(AND($D7*$F$4&gt;=122.5,$D7&lt;123.5),123,0))))))))))))))))))))))))))))))))))))))))))))))))))))))))))))))</f>
        <v>4</v>
      </c>
      <c r="G7" s="58">
        <f>IF(AND($D7*$G$4&gt;=0,$D7&lt;1.5),1,IF(AND($D7*$G$4&gt;=1.5,$D7&lt;2.5),2,IF(AND($D7*$G$4&gt;=2.5,$D7&lt;3.5),3,IF(AND($D7*$G$4&gt;=3.5,$D7&lt;4.5),4,IF(AND($D7*$G$4&gt;=4.5,$D7&lt;5.5),5,IF(AND($D7*$G$4&gt;=5.5,$D7&lt;6.5),6,IF(AND($D7*$G$4&gt;=6.5,$D7&lt;7.5),7,IF(AND($D7*$G$4&gt;=7.5,$D7&lt;8.5),8,IF(AND($D7*$G$4&gt;=8.5,$D7&lt;9.5),9,IF(AND($D7*$G$4&gt;=9.5,$D7&lt;10.5),10,IF(AND($D7*$G$4&gt;=10.5,$D7&lt;11.5),11,IF(AND($D7*$G$4&gt;=11.5,$D7&lt;12.5),12,IF(AND($D7*$G$4&gt;=12.5,$D7&lt;13.5),13,IF(AND($D7*$G$4&gt;=13.5,$D7&lt;14.5),14,IF(AND($D7*$G$4&gt;=14.5,$D7&lt;15.5),15,IF(AND($D7*$G$4&gt;=15.5,$D7&lt;16.5),16,IF(AND($D7*$G$4&gt;=16.5,$D7&lt;17.5),17,IF(AND($D7*$G$4&gt;=17.5,$D7&lt;18.5),18,IF(AND($D7*$G$4&gt;=18.5,$D7&lt;19.5),19,IF(AND($D7*$G$4&gt;=19.5,$D7&lt;20.5),20,IF(AND($D7*$G$4&gt;=20.5,$D7&lt;21.5),21,IF(AND($D7*$G$4&gt;=21.5,$D7&lt;22.5),22,IF(AND($D7*$G$4&gt;=22.5,$D7&lt;23.5),23,IF(AND($D7*$G$4&gt;=23.5,$D7&lt;24.5),24,IF(AND($D7*$G$4&gt;=24.5,$D7&lt;25.5),25,IF(AND($D7*$G$4&gt;=25.5,$D7&lt;26.5),26,IF(AND($D7*$G$4&gt;=26.5,$D7&lt;27.5),27,IF(AND($D7*$G$4&gt;=27.5,$D7&lt;28.5),28,IF(AND($D7*$G$4&gt;=28.5,$D7&lt;29.5),29,IF(AND($D7*$G$4&gt;=29.5,$D7&lt;30.5),30,IF(AND($D7*$G$4&gt;=30.5,$D7&lt;31.5),31,IF(AND($D7*$G$4&gt;=31.5,$D7&lt;32.5),32,IF(AND($D7*$G$4&gt;=32.5,$D7&lt;33.5),33,IF(AND($D7*$G$4&gt;=33.5,$D7&lt;34.5),34,IF(AND($D7*$G$4&gt;=34.5,$D7&lt;35.5),35,IF(AND($D7*$G$4&gt;=35.5,$D7&lt;36.5),36,IF(AND($D7*$G$4&gt;=36.5,$D7&lt;37.5),37,IF(AND($D7*$G$4&gt;=37.5,$D7&lt;38.5),38,IF(AND($D7*$G$4&gt;=38.5,$D7&lt;39.5),39,IF(AND($D7*$G$4&gt;=39.5,$D7&lt;40.5),40,IF(AND($D7*$G$4&gt;=40.5,$D7&lt;41.5),41,IF(AND($D7*$G$4&gt;=41.5,$D7&lt;42.5),42,IF(AND($D7*$G$4&gt;=42.5,$D7&lt;43.5),43,IF(AND($D7*$G$4&gt;=43.5,$D7&lt;44.5),44,IF(AND($D7*$G$4&gt;=44.5,$D7&lt;45.5),45,IF(AND($D7*$G$4&gt;=45.5,$D7&lt;46.5),46,IF(AND($D7*$G$4&gt;=46.5,$D7&lt;47.5),47,IF(AND($D7*$G$4&gt;=47.5,$D7&lt;48.5),48,IF(AND($D7*$G$4&gt;=48.5,$D7&lt;49.5),49,IF(AND($D7*$G$4&gt;=49.5,$D7&lt;50.5),50,IF(AND($D7*$G$4&gt;=50.5,$D7&lt;51.5),51,IF(AND($D7*$G$4&gt;=51.5,$D7&lt;52.5),52,IF(AND($D7*$G$4&gt;=52.5,$D7&lt;53.5),53,IF(AND($D7*$G$4&gt;=53.5,$D7&lt;54.5),54,IF(AND($D7*$G$4&gt;=54.5,$D7&lt;55.5),55,IF(AND($D7*$G$4&gt;=55.5,$D7&lt;56.5),56,IF(AND($D7*$G$4&gt;=64.5,$D7&lt;65.5),65,IF(AND($D7*$G$4&gt;=65.5,$D7&lt;66.5),66,IF(AND($D7*$G$4&gt;=86.5,$D7&lt;87.5),87,IF(AND($D7*$G$4&gt;=87.5,$D7&lt;88.5),88,IF(AND($D7*$G$4&gt;=121.5,$D7&lt;122.5),122,IF(AND($D7*$G$4&gt;=122.5,$D7&lt;123.5),123,0))))))))))))))))))))))))))))))))))))))))))))))))))))))))))))))</f>
        <v>4</v>
      </c>
      <c r="H7" s="58">
        <f>IF(AND($D7*$H$4&gt;=0,$D7&lt;1.5),1,IF(AND($D7*$H$4&gt;=1.5,$D7&lt;2.5),2,IF(AND($D7*$H$4&gt;=2.5,$D7&lt;3.5),3,IF(AND($D7*$H$4&gt;=3.5,$D7&lt;4.5),4,IF(AND($D7*$H$4&gt;=4.5,$D7&lt;5.5),5,IF(AND($D7*$H$4&gt;=5.5,$D7&lt;6.5),6,IF(AND($D7*$H$4&gt;=6.5,$D7&lt;7.5),7,IF(AND($D7*$H$4&gt;=7.5,$D7&lt;8.5),8,IF(AND($D7*$H$4&gt;=8.5,$D7&lt;9.5),9,IF(AND($D7*$H$4&gt;=9.5,$D7&lt;10.5),10,IF(AND($D7*$H$4&gt;=10.5,$D7&lt;11.5),11,IF(AND($D7*$H$4&gt;=11.5,$D7&lt;12.5),12,IF(AND($D7*$H$4&gt;=12.5,$D7&lt;13.5),13,IF(AND($D7*$H$4&gt;=13.5,$D7&lt;14.5),14,IF(AND($D7*$H$4&gt;=14.5,$D7&lt;15.5),15,IF(AND($D7*$H$4&gt;=15.5,$D7&lt;16.5),16,IF(AND($D7*$H$4&gt;=16.5,$D7&lt;17.5),17,IF(AND($D7*$H$4&gt;=17.5,$D7&lt;18.5),18,IF(AND($D7*$H$4&gt;=18.5,$D7&lt;19.5),19,IF(AND($D7*$H$4&gt;=19.5,$D7&lt;20.5),20,IF(AND($D7*$H$4&gt;=20.5,$D7&lt;21.5),21,IF(AND($D7*$H$4&gt;=21.5,$D7&lt;22.5),22,IF(AND($D7*$H$4&gt;=22.5,$D7&lt;23.5),23,IF(AND($D7*$H$4&gt;=23.5,$D7&lt;24.5),24,IF(AND($D7*$H$4&gt;=24.5,$D7&lt;25.5),25,IF(AND($D7*$H$4&gt;=25.5,$D7&lt;26.5),26,IF(AND($D7*$H$4&gt;=26.5,$D7&lt;27.5),27,IF(AND($D7*$H$4&gt;=27.5,$D7&lt;28.5),28,IF(AND($D7*$H$4&gt;=28.5,$D7&lt;29.5),29,IF(AND($D7*$H$4&gt;=29.5,$D7&lt;30.5),30,IF(AND($D7*$H$4&gt;=30.5,$D7&lt;31.5),31,IF(AND($D7*$H$4&gt;=31.5,$D7&lt;32.5),32,IF(AND($D7*$H$4&gt;=32.5,$D7&lt;33.5),33,IF(AND($D7*$H$4&gt;=33.5,$D7&lt;34.5),34,IF(AND($D7*$H$4&gt;=34.5,$D7&lt;35.5),35,IF(AND($D7*$H$4&gt;=35.5,$D7&lt;36.5),36,IF(AND($D7*$H$4&gt;=36.5,$D7&lt;37.5),37,IF(AND($D7*$H$4&gt;=37.5,$D7&lt;38.5),38,IF(AND($D7*$H$4&gt;=38.5,$D7&lt;39.5),39,IF(AND($D7*$H$4&gt;=39.5,$D7&lt;40.5),40,IF(AND($D7*$H$4&gt;=40.5,$D7&lt;41.5),41,IF(AND($D7*$H$4&gt;=41.5,$D7&lt;42.5),42,IF(AND($D7*$H$4&gt;=42.5,$D7&lt;43.5),43,IF(AND($D7*$H$4&gt;=43.5,$D7&lt;44.5),44,IF(AND($D7*$H$4&gt;=44.5,$D7&lt;45.5),45,IF(AND($D7*$H$4&gt;=45.5,$D7&lt;46.5),46,IF(AND($D7*$H$4&gt;=46.5,$D7&lt;47.5),47,IF(AND($D7*$H$4&gt;=47.5,$D7&lt;48.5),48,IF(AND($D7*$H$4&gt;=48.5,$D7&lt;49.5),49,IF(AND($D7*$H$4&gt;=49.5,$D7&lt;50.5),50,IF(AND($D7*$H$4&gt;=50.5,$D7&lt;51.5),51,IF(AND($D7*$H$4&gt;=51.5,$D7&lt;52.5),52,IF(AND($D7*$H$4&gt;=52.5,$D7&lt;53.5),53,IF(AND($D7*$H$4&gt;=53.5,$D7&lt;54.5),54,IF(AND($D7*$H$4&gt;=54.5,$D7&lt;55.5),55,IF(AND($D7*$H$4&gt;=55.5,$D7&lt;56.5),56,IF(AND($D7*$H$4&gt;=64.5,$D7&lt;65.5),65,IF(AND($D7*$H$4&gt;=65.5,$D7&lt;66.5),66,IF(AND($D7*$H$4&gt;=86.5,$D7&lt;87.5),87,IF(AND($D7*$H$4&gt;=87.5,$D7&lt;88.5),88,IF(AND($D7*$H$4&gt;=121.5,$D7&lt;122.5),122,IF(AND($D7*$H$4&gt;=122.5,$D7&lt;123.5),123,0))))))))))))))))))))))))))))))))))))))))))))))))))))))))))))))</f>
        <v>4</v>
      </c>
      <c r="I7" s="58">
        <f>IF(AND($D7*$I$4&gt;=0,$D7&lt;1.5),1,IF(AND($D7*$I$4&gt;=1.5,$D7&lt;2.5),2,IF(AND($D7*$I$4&gt;=2.5,$D7&lt;3.5),3,IF(AND($D7*$I$4&gt;=3.5,$D7&lt;4.5),4,IF(AND($D7*$I$4&gt;=4.5,$D7&lt;5.5),5,IF(AND($D7*$I$4&gt;=5.5,$D7&lt;6.5),6,IF(AND($D7*$I$4&gt;=6.5,$D7&lt;7.5),7,IF(AND($D7*$I$4&gt;=7.5,$D7&lt;8.5),8,IF(AND($D7*$I$4&gt;=8.5,$D7&lt;9.5),9,IF(AND($D7*$I$4&gt;=9.5,$D7&lt;10.5),10,IF(AND($D7*$I$4&gt;=10.5,$D7&lt;11.5),11,IF(AND($D7*$I$4&gt;=11.5,$D7&lt;12.5),12,IF(AND($D7*$I$4&gt;=12.5,$D7&lt;13.5),13,IF(AND($D7*$I$4&gt;=13.5,$D7&lt;14.5),14,IF(AND($D7*$I$4&gt;=14.5,$D7&lt;15.5),15,IF(AND($D7*$I$4&gt;=15.5,$D7&lt;16.5),16,IF(AND($D7*$I$4&gt;=16.5,$D7&lt;17.5),17,IF(AND($D7*$I$4&gt;=17.5,$D7&lt;18.5),18,IF(AND($D7*$I$4&gt;=18.5,$D7&lt;19.5),19,IF(AND($D7*$I$4&gt;=19.5,$D7&lt;20.5),20,IF(AND($D7*$I$4&gt;=20.5,$D7&lt;21.5),21,IF(AND($D7*$I$4&gt;=21.5,$D7&lt;22.5),22,IF(AND($D7*$I$4&gt;=22.5,$D7&lt;23.5),23,IF(AND($D7*$I$4&gt;=23.5,$D7&lt;24.5),24,IF(AND($D7*$I$4&gt;=24.5,$D7&lt;25.5),25,IF(AND($D7*$I$4&gt;=25.5,$D7&lt;26.5),26,IF(AND($D7*$I$4&gt;=26.5,$D7&lt;27.5),27,IF(AND($D7*$I$4&gt;=27.5,$D7&lt;28.5),28,IF(AND($D7*$I$4&gt;=28.5,$D7&lt;29.5),29,IF(AND($D7*$I$4&gt;=29.5,$D7&lt;30.5),30,IF(AND($D7*$I$4&gt;=30.5,$D7&lt;31.5),31,IF(AND($D7*$I$4&gt;=31.5,$D7&lt;32.5),32,IF(AND($D7*$I$4&gt;=32.5,$D7&lt;33.5),33,IF(AND($D7*$I$4&gt;=33.5,$D7&lt;34.5),34,IF(AND($D7*$I$4&gt;=34.5,$D7&lt;35.5),35,IF(AND($D7*$I$4&gt;=35.5,$D7&lt;36.5),36,IF(AND($D7*$I$4&gt;=36.5,$D7&lt;37.5),37,IF(AND($D7*$I$4&gt;=37.5,$D7&lt;38.5),38,IF(AND($D7*$I$4&gt;=38.5,$D7&lt;39.5),39,IF(AND($D7*$I$4&gt;=39.5,$D7&lt;40.5),40,IF(AND($D7*$I$4&gt;=40.5,$D7&lt;41.5),41,IF(AND($D7*$I$4&gt;=41.5,$D7&lt;42.5),42,IF(AND($D7*$I$4&gt;=42.5,$D7&lt;43.5),43,IF(AND($D7*$I$4&gt;=43.5,$D7&lt;44.5),44,IF(AND($D7*$I$4&gt;=44.5,$D7&lt;45.5),45,IF(AND($D7*$I$4&gt;=45.5,$D7&lt;46.5),46,IF(AND($D7*$I$4&gt;=46.5,$D7&lt;47.5),47,IF(AND($D7*$I$4&gt;=47.5,$D7&lt;48.5),48,IF(AND($D7*$I$4&gt;=48.5,$D7&lt;49.5),49,IF(AND($D7*$I$4&gt;=49.5,$D7&lt;50.5),50,IF(AND($D7*$I$4&gt;=50.5,$D7&lt;51.5),51,IF(AND($D7*$I$4&gt;=51.5,$D7&lt;52.5),52,IF(AND($D7*$I$4&gt;=52.5,$D7&lt;53.5),53,IF(AND($D7*$I$4&gt;=53.5,$D7&lt;54.5),54,IF(AND($D7*$I$4&gt;=54.5,$D7&lt;55.5),55,IF(AND($D7*$I$4&gt;=55.5,$D7&lt;56.5),56,IF(AND($D7*$I$4&gt;=64.5,$D7&lt;65.5),65,IF(AND($D7*$I$4&gt;=65.5,$D7&lt;66.5),66,IF(AND($D7*$I$4&gt;=86.5,$D7&lt;87.5),87,IF(AND($D7*$I$4&gt;=87.5,$D7&lt;88.5),88,IF(AND($D7*$I$4&gt;=121.5,$D7&lt;122.5),122,IF(AND($D7*$I$4&gt;=122.5,$D7&lt;123.5),123,0))))))))))))))))))))))))))))))))))))))))))))))))))))))))))))))</f>
        <v>4</v>
      </c>
      <c r="J7" s="58">
        <f>IF(AND($D7*$J$4&gt;=0,$D7&lt;1.5),1,IF(AND($D7*$J$4&gt;=1.5,$D7&lt;2.5),2,IF(AND($D7*$J$4&gt;=2.5,$D7&lt;3.5),3,IF(AND($D7*$J$4&gt;=3.5,$D7&lt;4.5),4,IF(AND($D7*$J$4&gt;=4.5,$D7&lt;5.5),5,IF(AND($D7*$J$4&gt;=5.5,$D7&lt;6.5),6,IF(AND($D7*$J$4&gt;=6.5,$D7&lt;7.5),7,IF(AND($D7*$J$4&gt;=7.5,$D7&lt;8.5),8,IF(AND($D7*$J$4&gt;=8.5,$D7&lt;9.5),9,IF(AND($D7*$J$4&gt;=9.5,$D7&lt;10.5),10,IF(AND($D7*$J$4&gt;=10.5,$D7&lt;11.5),11,IF(AND($D7*$J$4&gt;=11.5,$D7&lt;12.5),12,IF(AND($D7*$J$4&gt;=12.5,$D7&lt;13.5),13,IF(AND($D7*$J$4&gt;=13.5,$D7&lt;14.5),14,IF(AND($D7*$J$4&gt;=14.5,$D7&lt;15.5),15,IF(AND($D7*$J$4&gt;=15.5,$D7&lt;16.5),16,IF(AND($D7*$J$4&gt;=16.5,$D7&lt;17.5),17,IF(AND($D7*$J$4&gt;=17.5,$D7&lt;18.5),18,IF(AND($D7*$J$4&gt;=18.5,$D7&lt;19.5),19,IF(AND($D7*$J$4&gt;=19.5,$D7&lt;20.5),20,IF(AND($D7*$J$4&gt;=20.5,$D7&lt;21.5),21,IF(AND($D7*$J$4&gt;=21.5,$D7&lt;22.5),22,IF(AND($D7*$J$4&gt;=22.5,$D7&lt;23.5),23,IF(AND($D7*$J$4&gt;=23.5,$D7&lt;24.5),24,IF(AND($D7*$J$4&gt;=24.5,$D7&lt;25.5),25,IF(AND($D7*$J$4&gt;=25.5,$D7&lt;26.5),26,IF(AND($D7*$J$4&gt;=26.5,$D7&lt;27.5),27,IF(AND($D7*$J$4&gt;=27.5,$D7&lt;28.5),28,IF(AND($D7*$J$4&gt;=28.5,$D7&lt;29.5),29,IF(AND($D7*$J$4&gt;=29.5,$D7&lt;30.5),30,IF(AND($D7*$J$4&gt;=30.5,$D7&lt;31.5),31,IF(AND($D7*$J$4&gt;=31.5,$D7&lt;32.5),32,IF(AND($D7*$J$4&gt;=32.5,$D7&lt;33.5),33,IF(AND($D7*$J$4&gt;=33.5,$D7&lt;34.5),34,IF(AND($D7*$J$4&gt;=34.5,$D7&lt;35.5),35,IF(AND($D7*$J$4&gt;=35.5,$D7&lt;36.5),36,IF(AND($D7*$J$4&gt;=36.5,$D7&lt;37.5),37,IF(AND($D7*$J$4&gt;=37.5,$D7&lt;38.5),38,IF(AND($D7*$J$4&gt;=38.5,$D7&lt;39.5),39,IF(AND($D7*$J$4&gt;=39.5,$D7&lt;40.5),40,IF(AND($D7*$J$4&gt;=40.5,$D7&lt;41.5),41,IF(AND($D7*$J$4&gt;=41.5,$D7&lt;42.5),42,IF(AND($D7*$J$4&gt;=42.5,$D7&lt;43.5),43,IF(AND($D7*$J$4&gt;=43.5,$D7&lt;44.5),44,IF(AND($D7*$J$4&gt;=44.5,$D7&lt;45.5),45,IF(AND($D7*$J$4&gt;=45.5,$D7&lt;46.5),46,IF(AND($D7*$J$4&gt;=46.5,$D7&lt;47.5),47,IF(AND($D7*$J$4&gt;=47.5,$D7&lt;48.5),48,IF(AND($D7*$J$4&gt;=48.5,$D7&lt;49.5),49,IF(AND($D7*$J$4&gt;=49.5,$D7&lt;50.5),50,IF(AND($D7*$J$4&gt;=50.5,$D7&lt;51.5),51,IF(AND($D7*$J$4&gt;=51.5,$D7&lt;52.5),52,IF(AND($D7*$J$4&gt;=52.5,$D7&lt;53.5),53,IF(AND($D7*$J$4&gt;=53.5,$D7&lt;54.5),54,IF(AND($D7*$J$4&gt;=54.5,$D7&lt;55.5),55,IF(AND($D7*$J$4&gt;=55.5,$D7&lt;56.5),56,IF(AND($D7*$J$4&gt;=64.5,$D7&lt;65.5),65,IF(AND($D7*$J$4&gt;=65.5,$D7&lt;66.5),66,IF(AND($D7*$J$4&gt;=86.5,$D7&lt;87.5),87,IF(AND($D7*$J$4&gt;=87.5,$D7&lt;88.5),88,IF(AND($D7*$J$4&gt;=121.5,$D7&lt;122.5),122,IF(AND($D7*$J$4&gt;=122.5,$D7&lt;123.5),123,0))))))))))))))))))))))))))))))))))))))))))))))))))))))))))))))</f>
        <v>4</v>
      </c>
      <c r="K7" s="100">
        <f>IF(AND($D7&gt;=0,$D7&lt;15),1,IF(AND($D7&gt;=0,$D7&gt;=15),2,0))</f>
        <v>1</v>
      </c>
      <c r="L7" s="58">
        <f t="shared" ref="L7:N12" si="1">IF(AND($D7&gt;=0,$D7&lt;15),1,IF(AND($D7&gt;=0,$D7&gt;=15),2,0))</f>
        <v>1</v>
      </c>
      <c r="M7" s="58">
        <f t="shared" si="1"/>
        <v>1</v>
      </c>
      <c r="N7" s="58">
        <f t="shared" si="1"/>
        <v>1</v>
      </c>
      <c r="O7" s="58"/>
      <c r="P7" s="58"/>
      <c r="Q7" s="58"/>
    </row>
    <row r="8" spans="1:20" ht="43.5" customHeight="1" x14ac:dyDescent="0.25">
      <c r="A8" s="94" t="s">
        <v>578</v>
      </c>
      <c r="B8" s="58">
        <v>100226</v>
      </c>
      <c r="C8" s="94" t="s">
        <v>412</v>
      </c>
      <c r="D8" s="92">
        <v>0.25</v>
      </c>
      <c r="E8" s="100">
        <f t="shared" ref="E8" si="2">IF($D8*$E$4&lt;1.5,1,IF($D8*$E$4&gt;=1.5,2,0))</f>
        <v>1</v>
      </c>
      <c r="F8" s="58">
        <f t="shared" ref="F8:F71" si="3">IF(AND($D8*$F$4&gt;=0,$D8&lt;1.5),1,IF(AND($D8*$F$4&gt;=1.5,$D8&lt;2.5),2,IF(AND($D8*$F$4&gt;=2.5,$D8&lt;3.5),3,IF(AND($D8*$F$4&gt;=3.5,$D8&lt;4.5),4,IF(AND($D8*$F$4&gt;=4.5,$D8&lt;5.5),5,IF(AND($D8*$F$4&gt;=5.5,$D8&lt;6.5),6,IF(AND($D8*$F$4&gt;=6.5,$D8&lt;7.5),7,IF(AND($D8*$F$4&gt;=7.5,$D8&lt;8.5),8,IF(AND($D8*$F$4&gt;=8.5,$D8&lt;9.5),9,IF(AND($D8*$F$4&gt;=9.5,$D8&lt;10.5),10,IF(AND($D8*$F$4&gt;=10.5,$D8&lt;11.5),11,IF(AND($D8*$F$4&gt;=11.5,$D8&lt;12.5),12,IF(AND($D8*$F$4&gt;=12.5,$D8&lt;13.5),13,IF(AND($D8*$F$4&gt;=13.5,$D8&lt;14.5),14,IF(AND($D8*$F$4&gt;=14.5,$D8&lt;15.5),15,IF(AND($D8*$F$4&gt;=15.5,$D8&lt;16.5),16,IF(AND($D8*$F$4&gt;=16.5,$D8&lt;17.5),17,IF(AND($D8*$F$4&gt;=17.5,$D8&lt;18.5),18,IF(AND($D8*$F$4&gt;=18.5,$D8&lt;19.5),19,IF(AND($D8*$F$4&gt;=19.5,$D8&lt;20.5),20,IF(AND($D8*$F$4&gt;=20.5,$D8&lt;21.5),21,IF(AND($D8*$F$4&gt;=21.5,$D8&lt;22.5),22,IF(AND($D8*$F$4&gt;=22.5,$D8&lt;23.5),23,IF(AND($D8*$F$4&gt;=23.5,$D8&lt;24.5),24,IF(AND($D8*$F$4&gt;=24.5,$D8&lt;25.5),25,IF(AND($D8*$F$4&gt;=25.5,$D8&lt;26.5),26,IF(AND($D8*$F$4&gt;=26.5,$D8&lt;27.5),27,IF(AND($D8*$F$4&gt;=27.5,$D8&lt;28.5),28,IF(AND($D8*$F$4&gt;=28.5,$D8&lt;29.5),29,IF(AND($D8*$F$4&gt;=29.5,$D8&lt;30.5),30,IF(AND($D8*$F$4&gt;=30.5,$D8&lt;31.5),31,IF(AND($D8*$F$4&gt;=31.5,$D8&lt;32.5),32,IF(AND($D8*$F$4&gt;=32.5,$D8&lt;33.5),33,IF(AND($D8*$F$4&gt;=33.5,$D8&lt;34.5),34,IF(AND($D8*$F$4&gt;=34.5,$D8&lt;35.5),35,IF(AND($D8*$F$4&gt;=35.5,$D8&lt;36.5),36,IF(AND($D8*$F$4&gt;=36.5,$D8&lt;37.5),37,IF(AND($D8*$F$4&gt;=37.5,$D8&lt;38.5),38,IF(AND($D8*$F$4&gt;=38.5,$D8&lt;39.5),39,IF(AND($D8*$F$4&gt;=39.5,$D8&lt;40.5),40,IF(AND($D8*$F$4&gt;=40.5,$D8&lt;41.5),41,IF(AND($D8*$F$4&gt;=41.5,$D8&lt;42.5),42,IF(AND($D8*$F$4&gt;=42.5,$D8&lt;43.5),43,IF(AND($D8*$F$4&gt;=43.5,$D8&lt;44.5),44,IF(AND($D8*$F$4&gt;=44.5,$D8&lt;45.5),45,IF(AND($D8*$F$4&gt;=45.5,$D8&lt;46.5),46,IF(AND($D8*$F$4&gt;=46.5,$D8&lt;47.5),47,IF(AND($D8*$F$4&gt;=47.5,$D8&lt;48.5),48,IF(AND($D8*$F$4&gt;=48.5,$D8&lt;49.5),49,IF(AND($D8*$F$4&gt;=49.5,$D8&lt;50.5),50,IF(AND($D8*$F$4&gt;=50.5,$D8&lt;51.5),51,IF(AND($D8*$F$4&gt;=51.5,$D8&lt;52.5),52,IF(AND($D8*$F$4&gt;=52.5,$D8&lt;53.5),53,IF(AND($D8*$F$4&gt;=53.5,$D8&lt;54.5),54,IF(AND($D8*$F$4&gt;=54.5,$D8&lt;55.5),55,IF(AND($D8*$F$4&gt;=55.5,$D8&lt;56.5),56,IF(AND($D8*$F$4&gt;=64.5,$D8&lt;65.5),65,IF(AND($D8*$F$4&gt;=65.5,$D8&lt;66.5),66,IF(AND($D8*$F$4&gt;=86.5,$D8&lt;87.5),87,IF(AND($D8*$F$4&gt;=87.5,$D8&lt;88.5),88,IF(AND($D8*$F$4&gt;=121.5,$D8&lt;122.5),122,IF(AND($D8*$F$4&gt;=122.5,$D8&lt;123.5),123,0))))))))))))))))))))))))))))))))))))))))))))))))))))))))))))))</f>
        <v>1</v>
      </c>
      <c r="G8" s="58">
        <f t="shared" ref="G8:G71" si="4">IF(AND($D8*$G$4&gt;=0,$D8&lt;1.5),1,IF(AND($D8*$G$4&gt;=1.5,$D8&lt;2.5),2,IF(AND($D8*$G$4&gt;=2.5,$D8&lt;3.5),3,IF(AND($D8*$G$4&gt;=3.5,$D8&lt;4.5),4,IF(AND($D8*$G$4&gt;=4.5,$D8&lt;5.5),5,IF(AND($D8*$G$4&gt;=5.5,$D8&lt;6.5),6,IF(AND($D8*$G$4&gt;=6.5,$D8&lt;7.5),7,IF(AND($D8*$G$4&gt;=7.5,$D8&lt;8.5),8,IF(AND($D8*$G$4&gt;=8.5,$D8&lt;9.5),9,IF(AND($D8*$G$4&gt;=9.5,$D8&lt;10.5),10,IF(AND($D8*$G$4&gt;=10.5,$D8&lt;11.5),11,IF(AND($D8*$G$4&gt;=11.5,$D8&lt;12.5),12,IF(AND($D8*$G$4&gt;=12.5,$D8&lt;13.5),13,IF(AND($D8*$G$4&gt;=13.5,$D8&lt;14.5),14,IF(AND($D8*$G$4&gt;=14.5,$D8&lt;15.5),15,IF(AND($D8*$G$4&gt;=15.5,$D8&lt;16.5),16,IF(AND($D8*$G$4&gt;=16.5,$D8&lt;17.5),17,IF(AND($D8*$G$4&gt;=17.5,$D8&lt;18.5),18,IF(AND($D8*$G$4&gt;=18.5,$D8&lt;19.5),19,IF(AND($D8*$G$4&gt;=19.5,$D8&lt;20.5),20,IF(AND($D8*$G$4&gt;=20.5,$D8&lt;21.5),21,IF(AND($D8*$G$4&gt;=21.5,$D8&lt;22.5),22,IF(AND($D8*$G$4&gt;=22.5,$D8&lt;23.5),23,IF(AND($D8*$G$4&gt;=23.5,$D8&lt;24.5),24,IF(AND($D8*$G$4&gt;=24.5,$D8&lt;25.5),25,IF(AND($D8*$G$4&gt;=25.5,$D8&lt;26.5),26,IF(AND($D8*$G$4&gt;=26.5,$D8&lt;27.5),27,IF(AND($D8*$G$4&gt;=27.5,$D8&lt;28.5),28,IF(AND($D8*$G$4&gt;=28.5,$D8&lt;29.5),29,IF(AND($D8*$G$4&gt;=29.5,$D8&lt;30.5),30,IF(AND($D8*$G$4&gt;=30.5,$D8&lt;31.5),31,IF(AND($D8*$G$4&gt;=31.5,$D8&lt;32.5),32,IF(AND($D8*$G$4&gt;=32.5,$D8&lt;33.5),33,IF(AND($D8*$G$4&gt;=33.5,$D8&lt;34.5),34,IF(AND($D8*$G$4&gt;=34.5,$D8&lt;35.5),35,IF(AND($D8*$G$4&gt;=35.5,$D8&lt;36.5),36,IF(AND($D8*$G$4&gt;=36.5,$D8&lt;37.5),37,IF(AND($D8*$G$4&gt;=37.5,$D8&lt;38.5),38,IF(AND($D8*$G$4&gt;=38.5,$D8&lt;39.5),39,IF(AND($D8*$G$4&gt;=39.5,$D8&lt;40.5),40,IF(AND($D8*$G$4&gt;=40.5,$D8&lt;41.5),41,IF(AND($D8*$G$4&gt;=41.5,$D8&lt;42.5),42,IF(AND($D8*$G$4&gt;=42.5,$D8&lt;43.5),43,IF(AND($D8*$G$4&gt;=43.5,$D8&lt;44.5),44,IF(AND($D8*$G$4&gt;=44.5,$D8&lt;45.5),45,IF(AND($D8*$G$4&gt;=45.5,$D8&lt;46.5),46,IF(AND($D8*$G$4&gt;=46.5,$D8&lt;47.5),47,IF(AND($D8*$G$4&gt;=47.5,$D8&lt;48.5),48,IF(AND($D8*$G$4&gt;=48.5,$D8&lt;49.5),49,IF(AND($D8*$G$4&gt;=49.5,$D8&lt;50.5),50,IF(AND($D8*$G$4&gt;=50.5,$D8&lt;51.5),51,IF(AND($D8*$G$4&gt;=51.5,$D8&lt;52.5),52,IF(AND($D8*$G$4&gt;=52.5,$D8&lt;53.5),53,IF(AND($D8*$G$4&gt;=53.5,$D8&lt;54.5),54,IF(AND($D8*$G$4&gt;=54.5,$D8&lt;55.5),55,IF(AND($D8*$G$4&gt;=55.5,$D8&lt;56.5),56,IF(AND($D8*$G$4&gt;=64.5,$D8&lt;65.5),65,IF(AND($D8*$G$4&gt;=65.5,$D8&lt;66.5),66,IF(AND($D8*$G$4&gt;=86.5,$D8&lt;87.5),87,IF(AND($D8*$G$4&gt;=87.5,$D8&lt;88.5),88,IF(AND($D8*$G$4&gt;=121.5,$D8&lt;122.5),122,IF(AND($D8*$G$4&gt;=122.5,$D8&lt;123.5),123,0))))))))))))))))))))))))))))))))))))))))))))))))))))))))))))))</f>
        <v>1</v>
      </c>
      <c r="H8" s="58">
        <f t="shared" ref="H8:H71" si="5">IF(AND($D8*$H$4&gt;=0,$D8&lt;1.5),1,IF(AND($D8*$H$4&gt;=1.5,$D8&lt;2.5),2,IF(AND($D8*$H$4&gt;=2.5,$D8&lt;3.5),3,IF(AND($D8*$H$4&gt;=3.5,$D8&lt;4.5),4,IF(AND($D8*$H$4&gt;=4.5,$D8&lt;5.5),5,IF(AND($D8*$H$4&gt;=5.5,$D8&lt;6.5),6,IF(AND($D8*$H$4&gt;=6.5,$D8&lt;7.5),7,IF(AND($D8*$H$4&gt;=7.5,$D8&lt;8.5),8,IF(AND($D8*$H$4&gt;=8.5,$D8&lt;9.5),9,IF(AND($D8*$H$4&gt;=9.5,$D8&lt;10.5),10,IF(AND($D8*$H$4&gt;=10.5,$D8&lt;11.5),11,IF(AND($D8*$H$4&gt;=11.5,$D8&lt;12.5),12,IF(AND($D8*$H$4&gt;=12.5,$D8&lt;13.5),13,IF(AND($D8*$H$4&gt;=13.5,$D8&lt;14.5),14,IF(AND($D8*$H$4&gt;=14.5,$D8&lt;15.5),15,IF(AND($D8*$H$4&gt;=15.5,$D8&lt;16.5),16,IF(AND($D8*$H$4&gt;=16.5,$D8&lt;17.5),17,IF(AND($D8*$H$4&gt;=17.5,$D8&lt;18.5),18,IF(AND($D8*$H$4&gt;=18.5,$D8&lt;19.5),19,IF(AND($D8*$H$4&gt;=19.5,$D8&lt;20.5),20,IF(AND($D8*$H$4&gt;=20.5,$D8&lt;21.5),21,IF(AND($D8*$H$4&gt;=21.5,$D8&lt;22.5),22,IF(AND($D8*$H$4&gt;=22.5,$D8&lt;23.5),23,IF(AND($D8*$H$4&gt;=23.5,$D8&lt;24.5),24,IF(AND($D8*$H$4&gt;=24.5,$D8&lt;25.5),25,IF(AND($D8*$H$4&gt;=25.5,$D8&lt;26.5),26,IF(AND($D8*$H$4&gt;=26.5,$D8&lt;27.5),27,IF(AND($D8*$H$4&gt;=27.5,$D8&lt;28.5),28,IF(AND($D8*$H$4&gt;=28.5,$D8&lt;29.5),29,IF(AND($D8*$H$4&gt;=29.5,$D8&lt;30.5),30,IF(AND($D8*$H$4&gt;=30.5,$D8&lt;31.5),31,IF(AND($D8*$H$4&gt;=31.5,$D8&lt;32.5),32,IF(AND($D8*$H$4&gt;=32.5,$D8&lt;33.5),33,IF(AND($D8*$H$4&gt;=33.5,$D8&lt;34.5),34,IF(AND($D8*$H$4&gt;=34.5,$D8&lt;35.5),35,IF(AND($D8*$H$4&gt;=35.5,$D8&lt;36.5),36,IF(AND($D8*$H$4&gt;=36.5,$D8&lt;37.5),37,IF(AND($D8*$H$4&gt;=37.5,$D8&lt;38.5),38,IF(AND($D8*$H$4&gt;=38.5,$D8&lt;39.5),39,IF(AND($D8*$H$4&gt;=39.5,$D8&lt;40.5),40,IF(AND($D8*$H$4&gt;=40.5,$D8&lt;41.5),41,IF(AND($D8*$H$4&gt;=41.5,$D8&lt;42.5),42,IF(AND($D8*$H$4&gt;=42.5,$D8&lt;43.5),43,IF(AND($D8*$H$4&gt;=43.5,$D8&lt;44.5),44,IF(AND($D8*$H$4&gt;=44.5,$D8&lt;45.5),45,IF(AND($D8*$H$4&gt;=45.5,$D8&lt;46.5),46,IF(AND($D8*$H$4&gt;=46.5,$D8&lt;47.5),47,IF(AND($D8*$H$4&gt;=47.5,$D8&lt;48.5),48,IF(AND($D8*$H$4&gt;=48.5,$D8&lt;49.5),49,IF(AND($D8*$H$4&gt;=49.5,$D8&lt;50.5),50,IF(AND($D8*$H$4&gt;=50.5,$D8&lt;51.5),51,IF(AND($D8*$H$4&gt;=51.5,$D8&lt;52.5),52,IF(AND($D8*$H$4&gt;=52.5,$D8&lt;53.5),53,IF(AND($D8*$H$4&gt;=53.5,$D8&lt;54.5),54,IF(AND($D8*$H$4&gt;=54.5,$D8&lt;55.5),55,IF(AND($D8*$H$4&gt;=55.5,$D8&lt;56.5),56,IF(AND($D8*$H$4&gt;=64.5,$D8&lt;65.5),65,IF(AND($D8*$H$4&gt;=65.5,$D8&lt;66.5),66,IF(AND($D8*$H$4&gt;=86.5,$D8&lt;87.5),87,IF(AND($D8*$H$4&gt;=87.5,$D8&lt;88.5),88,IF(AND($D8*$H$4&gt;=121.5,$D8&lt;122.5),122,IF(AND($D8*$H$4&gt;=122.5,$D8&lt;123.5),123,0))))))))))))))))))))))))))))))))))))))))))))))))))))))))))))))</f>
        <v>1</v>
      </c>
      <c r="I8" s="58">
        <f t="shared" ref="I8:I71" si="6">IF(AND($D8*$I$4&gt;=0,$D8&lt;1.5),1,IF(AND($D8*$I$4&gt;=1.5,$D8&lt;2.5),2,IF(AND($D8*$I$4&gt;=2.5,$D8&lt;3.5),3,IF(AND($D8*$I$4&gt;=3.5,$D8&lt;4.5),4,IF(AND($D8*$I$4&gt;=4.5,$D8&lt;5.5),5,IF(AND($D8*$I$4&gt;=5.5,$D8&lt;6.5),6,IF(AND($D8*$I$4&gt;=6.5,$D8&lt;7.5),7,IF(AND($D8*$I$4&gt;=7.5,$D8&lt;8.5),8,IF(AND($D8*$I$4&gt;=8.5,$D8&lt;9.5),9,IF(AND($D8*$I$4&gt;=9.5,$D8&lt;10.5),10,IF(AND($D8*$I$4&gt;=10.5,$D8&lt;11.5),11,IF(AND($D8*$I$4&gt;=11.5,$D8&lt;12.5),12,IF(AND($D8*$I$4&gt;=12.5,$D8&lt;13.5),13,IF(AND($D8*$I$4&gt;=13.5,$D8&lt;14.5),14,IF(AND($D8*$I$4&gt;=14.5,$D8&lt;15.5),15,IF(AND($D8*$I$4&gt;=15.5,$D8&lt;16.5),16,IF(AND($D8*$I$4&gt;=16.5,$D8&lt;17.5),17,IF(AND($D8*$I$4&gt;=17.5,$D8&lt;18.5),18,IF(AND($D8*$I$4&gt;=18.5,$D8&lt;19.5),19,IF(AND($D8*$I$4&gt;=19.5,$D8&lt;20.5),20,IF(AND($D8*$I$4&gt;=20.5,$D8&lt;21.5),21,IF(AND($D8*$I$4&gt;=21.5,$D8&lt;22.5),22,IF(AND($D8*$I$4&gt;=22.5,$D8&lt;23.5),23,IF(AND($D8*$I$4&gt;=23.5,$D8&lt;24.5),24,IF(AND($D8*$I$4&gt;=24.5,$D8&lt;25.5),25,IF(AND($D8*$I$4&gt;=25.5,$D8&lt;26.5),26,IF(AND($D8*$I$4&gt;=26.5,$D8&lt;27.5),27,IF(AND($D8*$I$4&gt;=27.5,$D8&lt;28.5),28,IF(AND($D8*$I$4&gt;=28.5,$D8&lt;29.5),29,IF(AND($D8*$I$4&gt;=29.5,$D8&lt;30.5),30,IF(AND($D8*$I$4&gt;=30.5,$D8&lt;31.5),31,IF(AND($D8*$I$4&gt;=31.5,$D8&lt;32.5),32,IF(AND($D8*$I$4&gt;=32.5,$D8&lt;33.5),33,IF(AND($D8*$I$4&gt;=33.5,$D8&lt;34.5),34,IF(AND($D8*$I$4&gt;=34.5,$D8&lt;35.5),35,IF(AND($D8*$I$4&gt;=35.5,$D8&lt;36.5),36,IF(AND($D8*$I$4&gt;=36.5,$D8&lt;37.5),37,IF(AND($D8*$I$4&gt;=37.5,$D8&lt;38.5),38,IF(AND($D8*$I$4&gt;=38.5,$D8&lt;39.5),39,IF(AND($D8*$I$4&gt;=39.5,$D8&lt;40.5),40,IF(AND($D8*$I$4&gt;=40.5,$D8&lt;41.5),41,IF(AND($D8*$I$4&gt;=41.5,$D8&lt;42.5),42,IF(AND($D8*$I$4&gt;=42.5,$D8&lt;43.5),43,IF(AND($D8*$I$4&gt;=43.5,$D8&lt;44.5),44,IF(AND($D8*$I$4&gt;=44.5,$D8&lt;45.5),45,IF(AND($D8*$I$4&gt;=45.5,$D8&lt;46.5),46,IF(AND($D8*$I$4&gt;=46.5,$D8&lt;47.5),47,IF(AND($D8*$I$4&gt;=47.5,$D8&lt;48.5),48,IF(AND($D8*$I$4&gt;=48.5,$D8&lt;49.5),49,IF(AND($D8*$I$4&gt;=49.5,$D8&lt;50.5),50,IF(AND($D8*$I$4&gt;=50.5,$D8&lt;51.5),51,IF(AND($D8*$I$4&gt;=51.5,$D8&lt;52.5),52,IF(AND($D8*$I$4&gt;=52.5,$D8&lt;53.5),53,IF(AND($D8*$I$4&gt;=53.5,$D8&lt;54.5),54,IF(AND($D8*$I$4&gt;=54.5,$D8&lt;55.5),55,IF(AND($D8*$I$4&gt;=55.5,$D8&lt;56.5),56,IF(AND($D8*$I$4&gt;=64.5,$D8&lt;65.5),65,IF(AND($D8*$I$4&gt;=65.5,$D8&lt;66.5),66,IF(AND($D8*$I$4&gt;=86.5,$D8&lt;87.5),87,IF(AND($D8*$I$4&gt;=87.5,$D8&lt;88.5),88,IF(AND($D8*$I$4&gt;=121.5,$D8&lt;122.5),122,IF(AND($D8*$I$4&gt;=122.5,$D8&lt;123.5),123,0))))))))))))))))))))))))))))))))))))))))))))))))))))))))))))))</f>
        <v>1</v>
      </c>
      <c r="J8" s="58">
        <f t="shared" ref="J8:J71" si="7">IF(AND($D8*$J$4&gt;=0,$D8&lt;1.5),1,IF(AND($D8*$J$4&gt;=1.5,$D8&lt;2.5),2,IF(AND($D8*$J$4&gt;=2.5,$D8&lt;3.5),3,IF(AND($D8*$J$4&gt;=3.5,$D8&lt;4.5),4,IF(AND($D8*$J$4&gt;=4.5,$D8&lt;5.5),5,IF(AND($D8*$J$4&gt;=5.5,$D8&lt;6.5),6,IF(AND($D8*$J$4&gt;=6.5,$D8&lt;7.5),7,IF(AND($D8*$J$4&gt;=7.5,$D8&lt;8.5),8,IF(AND($D8*$J$4&gt;=8.5,$D8&lt;9.5),9,IF(AND($D8*$J$4&gt;=9.5,$D8&lt;10.5),10,IF(AND($D8*$J$4&gt;=10.5,$D8&lt;11.5),11,IF(AND($D8*$J$4&gt;=11.5,$D8&lt;12.5),12,IF(AND($D8*$J$4&gt;=12.5,$D8&lt;13.5),13,IF(AND($D8*$J$4&gt;=13.5,$D8&lt;14.5),14,IF(AND($D8*$J$4&gt;=14.5,$D8&lt;15.5),15,IF(AND($D8*$J$4&gt;=15.5,$D8&lt;16.5),16,IF(AND($D8*$J$4&gt;=16.5,$D8&lt;17.5),17,IF(AND($D8*$J$4&gt;=17.5,$D8&lt;18.5),18,IF(AND($D8*$J$4&gt;=18.5,$D8&lt;19.5),19,IF(AND($D8*$J$4&gt;=19.5,$D8&lt;20.5),20,IF(AND($D8*$J$4&gt;=20.5,$D8&lt;21.5),21,IF(AND($D8*$J$4&gt;=21.5,$D8&lt;22.5),22,IF(AND($D8*$J$4&gt;=22.5,$D8&lt;23.5),23,IF(AND($D8*$J$4&gt;=23.5,$D8&lt;24.5),24,IF(AND($D8*$J$4&gt;=24.5,$D8&lt;25.5),25,IF(AND($D8*$J$4&gt;=25.5,$D8&lt;26.5),26,IF(AND($D8*$J$4&gt;=26.5,$D8&lt;27.5),27,IF(AND($D8*$J$4&gt;=27.5,$D8&lt;28.5),28,IF(AND($D8*$J$4&gt;=28.5,$D8&lt;29.5),29,IF(AND($D8*$J$4&gt;=29.5,$D8&lt;30.5),30,IF(AND($D8*$J$4&gt;=30.5,$D8&lt;31.5),31,IF(AND($D8*$J$4&gt;=31.5,$D8&lt;32.5),32,IF(AND($D8*$J$4&gt;=32.5,$D8&lt;33.5),33,IF(AND($D8*$J$4&gt;=33.5,$D8&lt;34.5),34,IF(AND($D8*$J$4&gt;=34.5,$D8&lt;35.5),35,IF(AND($D8*$J$4&gt;=35.5,$D8&lt;36.5),36,IF(AND($D8*$J$4&gt;=36.5,$D8&lt;37.5),37,IF(AND($D8*$J$4&gt;=37.5,$D8&lt;38.5),38,IF(AND($D8*$J$4&gt;=38.5,$D8&lt;39.5),39,IF(AND($D8*$J$4&gt;=39.5,$D8&lt;40.5),40,IF(AND($D8*$J$4&gt;=40.5,$D8&lt;41.5),41,IF(AND($D8*$J$4&gt;=41.5,$D8&lt;42.5),42,IF(AND($D8*$J$4&gt;=42.5,$D8&lt;43.5),43,IF(AND($D8*$J$4&gt;=43.5,$D8&lt;44.5),44,IF(AND($D8*$J$4&gt;=44.5,$D8&lt;45.5),45,IF(AND($D8*$J$4&gt;=45.5,$D8&lt;46.5),46,IF(AND($D8*$J$4&gt;=46.5,$D8&lt;47.5),47,IF(AND($D8*$J$4&gt;=47.5,$D8&lt;48.5),48,IF(AND($D8*$J$4&gt;=48.5,$D8&lt;49.5),49,IF(AND($D8*$J$4&gt;=49.5,$D8&lt;50.5),50,IF(AND($D8*$J$4&gt;=50.5,$D8&lt;51.5),51,IF(AND($D8*$J$4&gt;=51.5,$D8&lt;52.5),52,IF(AND($D8*$J$4&gt;=52.5,$D8&lt;53.5),53,IF(AND($D8*$J$4&gt;=53.5,$D8&lt;54.5),54,IF(AND($D8*$J$4&gt;=54.5,$D8&lt;55.5),55,IF(AND($D8*$J$4&gt;=55.5,$D8&lt;56.5),56,IF(AND($D8*$J$4&gt;=64.5,$D8&lt;65.5),65,IF(AND($D8*$J$4&gt;=65.5,$D8&lt;66.5),66,IF(AND($D8*$J$4&gt;=86.5,$D8&lt;87.5),87,IF(AND($D8*$J$4&gt;=87.5,$D8&lt;88.5),88,IF(AND($D8*$J$4&gt;=121.5,$D8&lt;122.5),122,IF(AND($D8*$J$4&gt;=122.5,$D8&lt;123.5),123,0))))))))))))))))))))))))))))))))))))))))))))))))))))))))))))))</f>
        <v>1</v>
      </c>
      <c r="K8" s="100">
        <f t="shared" ref="K8:N12" si="8">IF(AND($D8&gt;=0,$D8&lt;15),1,IF(AND($D8&gt;=0,$D8&gt;=15),2,0))</f>
        <v>1</v>
      </c>
      <c r="L8" s="58">
        <f t="shared" si="1"/>
        <v>1</v>
      </c>
      <c r="M8" s="58">
        <f t="shared" si="1"/>
        <v>1</v>
      </c>
      <c r="N8" s="58">
        <f t="shared" si="1"/>
        <v>1</v>
      </c>
      <c r="O8" s="58"/>
      <c r="P8" s="58"/>
      <c r="Q8" s="58"/>
    </row>
    <row r="9" spans="1:20" ht="43.5" customHeight="1" x14ac:dyDescent="0.25">
      <c r="A9" s="94" t="s">
        <v>578</v>
      </c>
      <c r="B9" s="58">
        <v>100228</v>
      </c>
      <c r="C9" s="94" t="s">
        <v>413</v>
      </c>
      <c r="D9" s="92">
        <v>10.1</v>
      </c>
      <c r="E9" s="100">
        <f t="shared" ref="E9" si="9">IF($D9*$E$4&lt;3.5,3,IF($D9*$E$4&lt;4.5,4,IF($D9*$E$4&gt;=4.5,5,0)))</f>
        <v>5</v>
      </c>
      <c r="F9" s="58">
        <f t="shared" si="3"/>
        <v>10</v>
      </c>
      <c r="G9" s="58">
        <f t="shared" si="4"/>
        <v>10</v>
      </c>
      <c r="H9" s="58">
        <f t="shared" si="5"/>
        <v>10</v>
      </c>
      <c r="I9" s="58">
        <f t="shared" si="6"/>
        <v>10</v>
      </c>
      <c r="J9" s="58">
        <f t="shared" si="7"/>
        <v>10</v>
      </c>
      <c r="K9" s="100">
        <f t="shared" si="8"/>
        <v>1</v>
      </c>
      <c r="L9" s="58">
        <f t="shared" si="1"/>
        <v>1</v>
      </c>
      <c r="M9" s="58">
        <f t="shared" si="1"/>
        <v>1</v>
      </c>
      <c r="N9" s="58">
        <f t="shared" si="1"/>
        <v>1</v>
      </c>
      <c r="O9" s="58"/>
      <c r="P9" s="58"/>
      <c r="Q9" s="58"/>
    </row>
    <row r="10" spans="1:20" ht="43.5" customHeight="1" x14ac:dyDescent="0.25">
      <c r="A10" s="94" t="s">
        <v>578</v>
      </c>
      <c r="B10" s="58">
        <v>100230</v>
      </c>
      <c r="C10" s="94" t="s">
        <v>414</v>
      </c>
      <c r="D10" s="92">
        <v>4.5</v>
      </c>
      <c r="E10" s="100">
        <f>IF($D10*$E$4&lt;2.5,2,IF($D10*$E$4&gt;=2.5,3,0))</f>
        <v>2</v>
      </c>
      <c r="F10" s="58">
        <f t="shared" si="3"/>
        <v>5</v>
      </c>
      <c r="G10" s="58">
        <f t="shared" si="4"/>
        <v>5</v>
      </c>
      <c r="H10" s="58">
        <f t="shared" si="5"/>
        <v>5</v>
      </c>
      <c r="I10" s="58">
        <f t="shared" si="6"/>
        <v>5</v>
      </c>
      <c r="J10" s="58">
        <f t="shared" si="7"/>
        <v>5</v>
      </c>
      <c r="K10" s="100">
        <f t="shared" si="8"/>
        <v>1</v>
      </c>
      <c r="L10" s="58">
        <f t="shared" si="1"/>
        <v>1</v>
      </c>
      <c r="M10" s="58">
        <f t="shared" si="1"/>
        <v>1</v>
      </c>
      <c r="N10" s="58">
        <f t="shared" si="1"/>
        <v>1</v>
      </c>
      <c r="O10" s="58"/>
      <c r="P10" s="58"/>
      <c r="Q10" s="58"/>
    </row>
    <row r="11" spans="1:20" ht="43.5" customHeight="1" x14ac:dyDescent="0.25">
      <c r="A11" s="94" t="s">
        <v>578</v>
      </c>
      <c r="B11" s="58">
        <v>100231</v>
      </c>
      <c r="C11" s="94" t="s">
        <v>415</v>
      </c>
      <c r="D11" s="92">
        <v>0.1</v>
      </c>
      <c r="E11" s="100">
        <f>IF($D11*$E$4&lt;1.5,1,IF($D11*$E$4&gt;=1.5,2,0))</f>
        <v>1</v>
      </c>
      <c r="F11" s="58">
        <f t="shared" si="3"/>
        <v>1</v>
      </c>
      <c r="G11" s="58">
        <f t="shared" si="4"/>
        <v>1</v>
      </c>
      <c r="H11" s="58">
        <f t="shared" si="5"/>
        <v>1</v>
      </c>
      <c r="I11" s="58">
        <f t="shared" si="6"/>
        <v>1</v>
      </c>
      <c r="J11" s="58">
        <f t="shared" si="7"/>
        <v>1</v>
      </c>
      <c r="K11" s="100">
        <f t="shared" si="8"/>
        <v>1</v>
      </c>
      <c r="L11" s="58">
        <f t="shared" si="1"/>
        <v>1</v>
      </c>
      <c r="M11" s="58">
        <f t="shared" si="1"/>
        <v>1</v>
      </c>
      <c r="N11" s="58">
        <f t="shared" si="1"/>
        <v>1</v>
      </c>
      <c r="O11" s="58"/>
      <c r="P11" s="58"/>
      <c r="Q11" s="58"/>
    </row>
    <row r="12" spans="1:20" ht="43.5" customHeight="1" x14ac:dyDescent="0.25">
      <c r="A12" s="94" t="s">
        <v>579</v>
      </c>
      <c r="B12" s="58">
        <v>1004</v>
      </c>
      <c r="C12" s="94" t="s">
        <v>416</v>
      </c>
      <c r="D12" s="92">
        <v>3.5</v>
      </c>
      <c r="E12" s="100">
        <f t="shared" ref="E12" si="10">IF($D12*$E$4&lt;1.5,1,IF($D12*$E$4&gt;=1.5,2,0))</f>
        <v>2</v>
      </c>
      <c r="F12" s="58">
        <f t="shared" si="3"/>
        <v>4</v>
      </c>
      <c r="G12" s="58">
        <f t="shared" si="4"/>
        <v>4</v>
      </c>
      <c r="H12" s="58">
        <f t="shared" si="5"/>
        <v>4</v>
      </c>
      <c r="I12" s="58">
        <f t="shared" si="6"/>
        <v>4</v>
      </c>
      <c r="J12" s="58">
        <f t="shared" si="7"/>
        <v>4</v>
      </c>
      <c r="K12" s="100">
        <f t="shared" si="8"/>
        <v>1</v>
      </c>
      <c r="L12" s="58">
        <f t="shared" si="1"/>
        <v>1</v>
      </c>
      <c r="M12" s="58">
        <f t="shared" si="1"/>
        <v>1</v>
      </c>
      <c r="N12" s="58">
        <f t="shared" si="1"/>
        <v>1</v>
      </c>
      <c r="O12" s="58"/>
      <c r="P12" s="58"/>
      <c r="Q12" s="58"/>
    </row>
    <row r="13" spans="1:20" ht="43.5" customHeight="1" x14ac:dyDescent="0.25">
      <c r="A13" s="94" t="s">
        <v>579</v>
      </c>
      <c r="B13" s="58">
        <v>100401</v>
      </c>
      <c r="C13" s="94" t="s">
        <v>417</v>
      </c>
      <c r="D13" s="92">
        <v>28.1</v>
      </c>
      <c r="E13" s="100">
        <f>IF($D13*$E$4&lt;14.5,14,IF($D13*$E$4&gt;=14.5,15,0))</f>
        <v>14</v>
      </c>
      <c r="F13" s="58">
        <f>IF(AND($D13*$F$4&gt;=0,$D13&lt;1.5),1,IF(AND($D13*$F$4&gt;=1.5,$D13&lt;2.5),2,IF(AND($D13*$F$4&gt;=2.5,$D13&lt;3.5),3,IF(AND($D13*$F$4&gt;=3.5,$D13&lt;4.5),4,IF(AND($D13*$F$4&gt;=4.5,$D13&lt;5.5),5,IF(AND($D13*$F$4&gt;=5.5,$D13&lt;6.5),6,IF(AND($D13*$F$4&gt;=6.5,$D13&lt;7.5),7,IF(AND($D13*$F$4&gt;=7.5,$D13&lt;8.5),8,IF(AND($D13*$F$4&gt;=8.5,$D13&lt;9.5),9,IF(AND($D13*$F$4&gt;=9.5,$D13&lt;10.5),10,IF(AND($D13*$F$4&gt;=10.5,$D13&lt;11.5),11,IF(AND($D13*$F$4&gt;=11.5,$D13&lt;12.5),12,IF(AND($D13*$F$4&gt;=12.5,$D13&lt;13.5),13,IF(AND($D13*$F$4&gt;=13.5,$D13&lt;14.5),14,IF(AND($D13*$F$4&gt;=14.5,$D13&lt;15.5),15,IF(AND($D13*$F$4&gt;=15.5,$D13&lt;16.5),16,IF(AND($D13*$F$4&gt;=16.5,$D13&lt;17.5),17,IF(AND($D13*$F$4&gt;=17.5,$D13&lt;18.5),18,IF(AND($D13*$F$4&gt;=18.5,$D13&lt;19.5),19,IF(AND($D13*$F$4&gt;=19.5,$D13&lt;20.5),20,IF(AND($D13*$F$4&gt;=20.5,$D13&lt;21.5),21,IF(AND($D13*$F$4&gt;=21.5,$D13&lt;22.5),22,IF(AND($D13*$F$4&gt;=22.5,$D13&lt;23.5),23,IF(AND($D13*$F$4&gt;=23.5,$D13&lt;24.5),24,IF(AND($D13*$F$4&gt;=24.5,$D13&lt;25.5),25,IF(AND($D13*$F$4&gt;=25.5,$D13&lt;26.5),26,IF(AND($D13*$F$4&gt;=26.5,$D13&lt;27.5),27,IF(AND($D13*$F$4&gt;=27.5,$D13&lt;28.5),28,IF(AND($D13*$F$4&gt;=28.5,$D13&lt;29.5),29,IF(AND($D13*$F$4&gt;=29.5,$D13&lt;30.5),30,IF(AND($D13*$F$4&gt;=30.5,$D13&lt;31.5),31,IF(AND($D13*$F$4&gt;=31.5,$D13&lt;32.5),32,IF(AND($D13*$F$4&gt;=32.5,$D13&lt;33.5),33,IF(AND($D13*$F$4&gt;=33.5,$D13&lt;34.5),34,IF(AND($D13*$F$4&gt;=34.5,$D13&lt;35.5),35,IF(AND($D13*$F$4&gt;=35.5,$D13&lt;36.5),36,IF(AND($D13*$F$4&gt;=36.5,$D13&lt;37.5),37,IF(AND($D13*$F$4&gt;=37.5,$D13&lt;38.5),38,IF(AND($D13*$F$4&gt;=38.5,$D13&lt;39.5),39,IF(AND($D13*$F$4&gt;=39.5,$D13&lt;40.5),40,IF(AND($D13*$F$4&gt;=40.5,$D13&lt;41.5),41,IF(AND($D13*$F$4&gt;=41.5,$D13&lt;42.5),42,IF(AND($D13*$F$4&gt;=42.5,$D13&lt;43.5),43,IF(AND($D13*$F$4&gt;=43.5,$D13&lt;44.5),44,IF(AND($D13*$F$4&gt;=44.5,$D13&lt;45.5),45,IF(AND($D13*$F$4&gt;=45.5,$D13&lt;46.5),46,IF(AND($D13*$F$4&gt;=46.5,$D13&lt;47.5),47,IF(AND($D13*$F$4&gt;=47.5,$D13&lt;48.5),48,IF(AND($D13*$F$4&gt;=48.5,$D13&lt;49.5),49,IF(AND($D13*$F$4&gt;=49.5,$D13&lt;50.5),50,IF(AND($D13*$F$4&gt;=50.5,$D13&lt;51.5),51,IF(AND($D13*$F$4&gt;=51.5,$D13&lt;52.5),52,IF(AND($D13*$F$4&gt;=52.5,$D13&lt;53.5),53,IF(AND($D13*$F$4&gt;=53.5,$D13&lt;54.5),54,IF(AND($D13*$F$4&gt;=54.5,$D13&lt;55.5),55,IF(AND($D13*$F$4&gt;=55.5,$D13&lt;56.5),56,IF(AND($D13*$F$4&gt;=64.5,$D13&lt;65.5),65,IF(AND($D13*$F$4&gt;=65.5,$D13&lt;66.5),66,IF(AND($D13*$F$4&gt;=86.5,$D13&lt;87.5),87,IF(AND($D13*$F$4&gt;=87.5,$D13&lt;88.5),88,IF(AND($D13*$F$4&gt;=121.5,$D13&lt;122.5),122,IF(AND($D13*$F$4&gt;=122.5,$D13&lt;123.5),123,0))))))))))))))))))))))))))))))))))))))))))))))))))))))))))))))</f>
        <v>28</v>
      </c>
      <c r="G13" s="58">
        <f t="shared" si="4"/>
        <v>28</v>
      </c>
      <c r="H13" s="58">
        <f t="shared" si="5"/>
        <v>28</v>
      </c>
      <c r="I13" s="58">
        <f t="shared" si="6"/>
        <v>28</v>
      </c>
      <c r="J13" s="58">
        <f t="shared" si="7"/>
        <v>28</v>
      </c>
      <c r="K13" s="100">
        <f>IF(AND($D13&gt;=25,$D13&lt;35),3,IF(AND($D13&gt;=0,$D13&lt;15),1,IF(AND($D13&gt;=25,$D13&lt;35),2,IF(AND($D13&gt;=35,$D13&lt;45),4,0))))</f>
        <v>3</v>
      </c>
      <c r="L13" s="58">
        <f t="shared" ref="L13:N13" si="11">IF(AND($D13&gt;=25,$D13&lt;35),3,IF(AND($D13&gt;=0,$D13&lt;15),1,IF(AND($D13&gt;=25,$D13&lt;35),2,IF(AND($D13&gt;=35,$D13&lt;45),4,0))))</f>
        <v>3</v>
      </c>
      <c r="M13" s="58">
        <f t="shared" si="11"/>
        <v>3</v>
      </c>
      <c r="N13" s="58">
        <f t="shared" si="11"/>
        <v>3</v>
      </c>
      <c r="O13" s="58"/>
      <c r="P13" s="58"/>
      <c r="Q13" s="58"/>
    </row>
    <row r="14" spans="1:20" ht="43.5" customHeight="1" x14ac:dyDescent="0.25">
      <c r="A14" s="94" t="s">
        <v>579</v>
      </c>
      <c r="B14" s="58">
        <v>100403</v>
      </c>
      <c r="C14" s="94" t="s">
        <v>418</v>
      </c>
      <c r="D14" s="92">
        <v>8</v>
      </c>
      <c r="E14" s="100">
        <f>IF($D14*$E$4&lt;3.5,3,IF($D14*$E$4&lt;4.5,4,IF($D14*$E$4&gt;=4.5,5,0)))</f>
        <v>4</v>
      </c>
      <c r="F14" s="58">
        <f t="shared" si="3"/>
        <v>8</v>
      </c>
      <c r="G14" s="58">
        <f t="shared" si="4"/>
        <v>8</v>
      </c>
      <c r="H14" s="58">
        <f t="shared" si="5"/>
        <v>8</v>
      </c>
      <c r="I14" s="58">
        <f t="shared" si="6"/>
        <v>8</v>
      </c>
      <c r="J14" s="58">
        <f t="shared" si="7"/>
        <v>8</v>
      </c>
      <c r="K14" s="100">
        <f t="shared" ref="K14:N32" si="12">IF(AND($D14&gt;=0,$D14&lt;15),1,0)</f>
        <v>1</v>
      </c>
      <c r="L14" s="58">
        <f t="shared" si="12"/>
        <v>1</v>
      </c>
      <c r="M14" s="58">
        <f t="shared" si="12"/>
        <v>1</v>
      </c>
      <c r="N14" s="58">
        <f t="shared" si="12"/>
        <v>1</v>
      </c>
      <c r="O14" s="58"/>
      <c r="P14" s="58"/>
      <c r="Q14" s="58"/>
    </row>
    <row r="15" spans="1:20" ht="43.5" customHeight="1" x14ac:dyDescent="0.25">
      <c r="A15" s="94" t="s">
        <v>579</v>
      </c>
      <c r="B15" s="58">
        <v>100404</v>
      </c>
      <c r="C15" s="94" t="s">
        <v>45</v>
      </c>
      <c r="D15" s="92">
        <v>2.5</v>
      </c>
      <c r="E15" s="100">
        <f>IF($D15*$E$4&lt;1.5,1,IF($D15*$E$4&gt;=1.5,2,0))</f>
        <v>1</v>
      </c>
      <c r="F15" s="58">
        <f t="shared" si="3"/>
        <v>3</v>
      </c>
      <c r="G15" s="58">
        <f t="shared" si="4"/>
        <v>3</v>
      </c>
      <c r="H15" s="58">
        <f t="shared" si="5"/>
        <v>3</v>
      </c>
      <c r="I15" s="58">
        <f t="shared" si="6"/>
        <v>3</v>
      </c>
      <c r="J15" s="58">
        <f t="shared" si="7"/>
        <v>3</v>
      </c>
      <c r="K15" s="100">
        <f t="shared" si="12"/>
        <v>1</v>
      </c>
      <c r="L15" s="58">
        <f t="shared" si="12"/>
        <v>1</v>
      </c>
      <c r="M15" s="58">
        <f t="shared" si="12"/>
        <v>1</v>
      </c>
      <c r="N15" s="58">
        <f t="shared" si="12"/>
        <v>1</v>
      </c>
      <c r="O15" s="58"/>
      <c r="P15" s="58"/>
      <c r="Q15" s="58"/>
    </row>
    <row r="16" spans="1:20" ht="43.5" customHeight="1" x14ac:dyDescent="0.25">
      <c r="A16" s="94" t="s">
        <v>579</v>
      </c>
      <c r="B16" s="58">
        <v>100407</v>
      </c>
      <c r="C16" s="94" t="s">
        <v>419</v>
      </c>
      <c r="D16" s="92">
        <v>10.3</v>
      </c>
      <c r="E16" s="100">
        <f>IF($D16*$E$4&lt;3.5,3,IF($D16*$E$4&lt;4.5,4,IF($D16*$E$4&gt;=4.5,5,0)))</f>
        <v>5</v>
      </c>
      <c r="F16" s="58">
        <f t="shared" si="3"/>
        <v>10</v>
      </c>
      <c r="G16" s="58">
        <f t="shared" si="4"/>
        <v>10</v>
      </c>
      <c r="H16" s="58">
        <f t="shared" si="5"/>
        <v>10</v>
      </c>
      <c r="I16" s="58">
        <f t="shared" si="6"/>
        <v>10</v>
      </c>
      <c r="J16" s="58">
        <f t="shared" si="7"/>
        <v>10</v>
      </c>
      <c r="K16" s="100">
        <f t="shared" si="12"/>
        <v>1</v>
      </c>
      <c r="L16" s="58">
        <f t="shared" si="12"/>
        <v>1</v>
      </c>
      <c r="M16" s="58">
        <f t="shared" si="12"/>
        <v>1</v>
      </c>
      <c r="N16" s="58">
        <f t="shared" si="12"/>
        <v>1</v>
      </c>
      <c r="O16" s="58"/>
      <c r="P16" s="58"/>
      <c r="Q16" s="58"/>
    </row>
    <row r="17" spans="1:17" ht="43.5" customHeight="1" x14ac:dyDescent="0.25">
      <c r="A17" s="94" t="s">
        <v>579</v>
      </c>
      <c r="B17" s="58">
        <v>100409</v>
      </c>
      <c r="C17" s="94" t="s">
        <v>420</v>
      </c>
      <c r="D17" s="92">
        <v>1</v>
      </c>
      <c r="E17" s="100">
        <f>IF($D17*$E$4&lt;1.5,1,IF($D17*$E$4&gt;=1.5,2,0))</f>
        <v>1</v>
      </c>
      <c r="F17" s="58">
        <f t="shared" si="3"/>
        <v>1</v>
      </c>
      <c r="G17" s="58">
        <f t="shared" si="4"/>
        <v>1</v>
      </c>
      <c r="H17" s="58">
        <f t="shared" si="5"/>
        <v>1</v>
      </c>
      <c r="I17" s="58">
        <f t="shared" si="6"/>
        <v>1</v>
      </c>
      <c r="J17" s="58">
        <f t="shared" si="7"/>
        <v>1</v>
      </c>
      <c r="K17" s="100">
        <f t="shared" si="12"/>
        <v>1</v>
      </c>
      <c r="L17" s="58">
        <f t="shared" si="12"/>
        <v>1</v>
      </c>
      <c r="M17" s="58">
        <f t="shared" si="12"/>
        <v>1</v>
      </c>
      <c r="N17" s="58">
        <f t="shared" si="12"/>
        <v>1</v>
      </c>
      <c r="O17" s="58"/>
      <c r="P17" s="58"/>
      <c r="Q17" s="58"/>
    </row>
    <row r="18" spans="1:17" ht="43.5" customHeight="1" x14ac:dyDescent="0.25">
      <c r="A18" s="94" t="s">
        <v>579</v>
      </c>
      <c r="B18" s="58">
        <v>100410</v>
      </c>
      <c r="C18" s="94" t="s">
        <v>421</v>
      </c>
      <c r="D18" s="92">
        <v>0.7</v>
      </c>
      <c r="E18" s="100">
        <f>IF($D18*$E$4&lt;1.5,1,IF($D18*$E$4&gt;=1.5,2,0))</f>
        <v>1</v>
      </c>
      <c r="F18" s="58">
        <f t="shared" si="3"/>
        <v>1</v>
      </c>
      <c r="G18" s="58">
        <f t="shared" si="4"/>
        <v>1</v>
      </c>
      <c r="H18" s="58">
        <f t="shared" si="5"/>
        <v>1</v>
      </c>
      <c r="I18" s="58">
        <f t="shared" si="6"/>
        <v>1</v>
      </c>
      <c r="J18" s="58">
        <f t="shared" si="7"/>
        <v>1</v>
      </c>
      <c r="K18" s="100">
        <f t="shared" si="12"/>
        <v>1</v>
      </c>
      <c r="L18" s="58">
        <f t="shared" si="12"/>
        <v>1</v>
      </c>
      <c r="M18" s="58">
        <f t="shared" si="12"/>
        <v>1</v>
      </c>
      <c r="N18" s="58">
        <f t="shared" si="12"/>
        <v>1</v>
      </c>
      <c r="O18" s="58"/>
      <c r="P18" s="58"/>
      <c r="Q18" s="58"/>
    </row>
    <row r="19" spans="1:17" ht="43.5" customHeight="1" x14ac:dyDescent="0.25">
      <c r="A19" s="94" t="s">
        <v>580</v>
      </c>
      <c r="B19" s="58">
        <v>1008</v>
      </c>
      <c r="C19" s="94" t="s">
        <v>422</v>
      </c>
      <c r="D19" s="92">
        <v>2</v>
      </c>
      <c r="E19" s="100">
        <f>IF($D19*$E$4&lt;1.5,1,IF($D19*$E$4&gt;=1.5,2,0))</f>
        <v>1</v>
      </c>
      <c r="F19" s="58">
        <f t="shared" si="3"/>
        <v>2</v>
      </c>
      <c r="G19" s="58">
        <f t="shared" si="4"/>
        <v>2</v>
      </c>
      <c r="H19" s="58">
        <f t="shared" si="5"/>
        <v>2</v>
      </c>
      <c r="I19" s="58">
        <f t="shared" si="6"/>
        <v>2</v>
      </c>
      <c r="J19" s="58">
        <f t="shared" si="7"/>
        <v>2</v>
      </c>
      <c r="K19" s="100">
        <f t="shared" si="12"/>
        <v>1</v>
      </c>
      <c r="L19" s="58">
        <f t="shared" si="12"/>
        <v>1</v>
      </c>
      <c r="M19" s="58">
        <f t="shared" si="12"/>
        <v>1</v>
      </c>
      <c r="N19" s="58">
        <f t="shared" si="12"/>
        <v>1</v>
      </c>
      <c r="O19" s="58"/>
      <c r="P19" s="58"/>
      <c r="Q19" s="58"/>
    </row>
    <row r="20" spans="1:17" ht="43.5" customHeight="1" x14ac:dyDescent="0.25">
      <c r="A20" s="94" t="s">
        <v>580</v>
      </c>
      <c r="B20" s="58">
        <v>100802</v>
      </c>
      <c r="C20" s="94" t="s">
        <v>423</v>
      </c>
      <c r="D20" s="92">
        <v>9</v>
      </c>
      <c r="E20" s="100">
        <f>IF($D20*$E$4&lt;3.5,3,IF($D20*$E$4&lt;4.5,4,IF($D20*$E$4&gt;=4.5,5,0)))</f>
        <v>5</v>
      </c>
      <c r="F20" s="58">
        <f t="shared" si="3"/>
        <v>9</v>
      </c>
      <c r="G20" s="58">
        <f t="shared" si="4"/>
        <v>9</v>
      </c>
      <c r="H20" s="58">
        <f t="shared" si="5"/>
        <v>9</v>
      </c>
      <c r="I20" s="58">
        <f t="shared" si="6"/>
        <v>9</v>
      </c>
      <c r="J20" s="58">
        <f t="shared" si="7"/>
        <v>9</v>
      </c>
      <c r="K20" s="100">
        <f t="shared" si="12"/>
        <v>1</v>
      </c>
      <c r="L20" s="58">
        <f t="shared" si="12"/>
        <v>1</v>
      </c>
      <c r="M20" s="58">
        <f t="shared" si="12"/>
        <v>1</v>
      </c>
      <c r="N20" s="58">
        <f t="shared" si="12"/>
        <v>1</v>
      </c>
      <c r="O20" s="58"/>
      <c r="P20" s="58"/>
      <c r="Q20" s="58"/>
    </row>
    <row r="21" spans="1:17" ht="43.5" customHeight="1" x14ac:dyDescent="0.25">
      <c r="A21" s="94" t="s">
        <v>580</v>
      </c>
      <c r="B21" s="58">
        <v>100803</v>
      </c>
      <c r="C21" s="94" t="s">
        <v>424</v>
      </c>
      <c r="D21" s="92">
        <v>5.5</v>
      </c>
      <c r="E21" s="100">
        <f>IF($D21*$E$4&lt;2.5,2,IF($D21*$E$4&gt;=2.5,3,0))</f>
        <v>3</v>
      </c>
      <c r="F21" s="58">
        <f t="shared" si="3"/>
        <v>6</v>
      </c>
      <c r="G21" s="58">
        <f t="shared" si="4"/>
        <v>6</v>
      </c>
      <c r="H21" s="58">
        <f t="shared" si="5"/>
        <v>6</v>
      </c>
      <c r="I21" s="58">
        <f t="shared" si="6"/>
        <v>6</v>
      </c>
      <c r="J21" s="58">
        <f t="shared" si="7"/>
        <v>6</v>
      </c>
      <c r="K21" s="100">
        <f t="shared" si="12"/>
        <v>1</v>
      </c>
      <c r="L21" s="58">
        <f t="shared" si="12"/>
        <v>1</v>
      </c>
      <c r="M21" s="58">
        <f t="shared" si="12"/>
        <v>1</v>
      </c>
      <c r="N21" s="58">
        <f t="shared" si="12"/>
        <v>1</v>
      </c>
      <c r="O21" s="58"/>
      <c r="P21" s="58"/>
      <c r="Q21" s="58"/>
    </row>
    <row r="22" spans="1:17" ht="43.5" customHeight="1" x14ac:dyDescent="0.25">
      <c r="A22" s="94" t="s">
        <v>580</v>
      </c>
      <c r="B22" s="58">
        <v>100806</v>
      </c>
      <c r="C22" s="94" t="s">
        <v>425</v>
      </c>
      <c r="D22" s="92">
        <v>1</v>
      </c>
      <c r="E22" s="100">
        <f t="shared" ref="E22:E31" si="13">IF($D22*$E$4&lt;1.5,1,IF($D22*$E$4&gt;=1.5,2,0))</f>
        <v>1</v>
      </c>
      <c r="F22" s="58">
        <f t="shared" si="3"/>
        <v>1</v>
      </c>
      <c r="G22" s="58">
        <f t="shared" si="4"/>
        <v>1</v>
      </c>
      <c r="H22" s="58">
        <f t="shared" si="5"/>
        <v>1</v>
      </c>
      <c r="I22" s="58">
        <f t="shared" si="6"/>
        <v>1</v>
      </c>
      <c r="J22" s="58">
        <f t="shared" si="7"/>
        <v>1</v>
      </c>
      <c r="K22" s="100">
        <f t="shared" si="12"/>
        <v>1</v>
      </c>
      <c r="L22" s="58">
        <f t="shared" si="12"/>
        <v>1</v>
      </c>
      <c r="M22" s="58">
        <f t="shared" si="12"/>
        <v>1</v>
      </c>
      <c r="N22" s="58">
        <f t="shared" si="12"/>
        <v>1</v>
      </c>
      <c r="O22" s="58"/>
      <c r="P22" s="58"/>
      <c r="Q22" s="58"/>
    </row>
    <row r="23" spans="1:17" ht="43.5" customHeight="1" x14ac:dyDescent="0.25">
      <c r="A23" s="94" t="s">
        <v>580</v>
      </c>
      <c r="B23" s="58">
        <v>100807</v>
      </c>
      <c r="C23" s="94" t="s">
        <v>426</v>
      </c>
      <c r="D23" s="92">
        <v>1</v>
      </c>
      <c r="E23" s="100">
        <f t="shared" si="13"/>
        <v>1</v>
      </c>
      <c r="F23" s="58">
        <f t="shared" si="3"/>
        <v>1</v>
      </c>
      <c r="G23" s="58">
        <f t="shared" si="4"/>
        <v>1</v>
      </c>
      <c r="H23" s="58">
        <f t="shared" si="5"/>
        <v>1</v>
      </c>
      <c r="I23" s="58">
        <f t="shared" si="6"/>
        <v>1</v>
      </c>
      <c r="J23" s="58">
        <f t="shared" si="7"/>
        <v>1</v>
      </c>
      <c r="K23" s="100">
        <f t="shared" si="12"/>
        <v>1</v>
      </c>
      <c r="L23" s="58">
        <f t="shared" si="12"/>
        <v>1</v>
      </c>
      <c r="M23" s="58">
        <f t="shared" si="12"/>
        <v>1</v>
      </c>
      <c r="N23" s="58">
        <f t="shared" si="12"/>
        <v>1</v>
      </c>
      <c r="O23" s="58"/>
      <c r="P23" s="58"/>
      <c r="Q23" s="58"/>
    </row>
    <row r="24" spans="1:17" ht="43.5" customHeight="1" x14ac:dyDescent="0.25">
      <c r="A24" s="94" t="s">
        <v>580</v>
      </c>
      <c r="B24" s="58">
        <v>100808</v>
      </c>
      <c r="C24" s="94" t="s">
        <v>427</v>
      </c>
      <c r="D24" s="92">
        <v>1</v>
      </c>
      <c r="E24" s="100">
        <f t="shared" si="13"/>
        <v>1</v>
      </c>
      <c r="F24" s="58">
        <f t="shared" si="3"/>
        <v>1</v>
      </c>
      <c r="G24" s="58">
        <f t="shared" si="4"/>
        <v>1</v>
      </c>
      <c r="H24" s="58">
        <f t="shared" si="5"/>
        <v>1</v>
      </c>
      <c r="I24" s="58">
        <f t="shared" si="6"/>
        <v>1</v>
      </c>
      <c r="J24" s="58">
        <f t="shared" si="7"/>
        <v>1</v>
      </c>
      <c r="K24" s="100">
        <f t="shared" si="12"/>
        <v>1</v>
      </c>
      <c r="L24" s="58">
        <f t="shared" si="12"/>
        <v>1</v>
      </c>
      <c r="M24" s="58">
        <f t="shared" si="12"/>
        <v>1</v>
      </c>
      <c r="N24" s="58">
        <f t="shared" si="12"/>
        <v>1</v>
      </c>
      <c r="O24" s="58"/>
      <c r="P24" s="58"/>
      <c r="Q24" s="58"/>
    </row>
    <row r="25" spans="1:17" ht="43.5" customHeight="1" x14ac:dyDescent="0.25">
      <c r="A25" s="94" t="s">
        <v>580</v>
      </c>
      <c r="B25" s="58">
        <v>100809</v>
      </c>
      <c r="C25" s="94" t="s">
        <v>428</v>
      </c>
      <c r="D25" s="92">
        <v>1</v>
      </c>
      <c r="E25" s="100">
        <f t="shared" si="13"/>
        <v>1</v>
      </c>
      <c r="F25" s="58">
        <f t="shared" si="3"/>
        <v>1</v>
      </c>
      <c r="G25" s="58">
        <f t="shared" si="4"/>
        <v>1</v>
      </c>
      <c r="H25" s="58">
        <f t="shared" si="5"/>
        <v>1</v>
      </c>
      <c r="I25" s="58">
        <f t="shared" si="6"/>
        <v>1</v>
      </c>
      <c r="J25" s="58">
        <f t="shared" si="7"/>
        <v>1</v>
      </c>
      <c r="K25" s="100">
        <f t="shared" si="12"/>
        <v>1</v>
      </c>
      <c r="L25" s="58">
        <f t="shared" si="12"/>
        <v>1</v>
      </c>
      <c r="M25" s="58">
        <f t="shared" si="12"/>
        <v>1</v>
      </c>
      <c r="N25" s="58">
        <f t="shared" si="12"/>
        <v>1</v>
      </c>
      <c r="O25" s="58"/>
      <c r="P25" s="58"/>
      <c r="Q25" s="58"/>
    </row>
    <row r="26" spans="1:17" ht="43.5" customHeight="1" x14ac:dyDescent="0.25">
      <c r="A26" s="94" t="s">
        <v>580</v>
      </c>
      <c r="B26" s="58">
        <v>100811</v>
      </c>
      <c r="C26" s="94" t="s">
        <v>429</v>
      </c>
      <c r="D26" s="92">
        <v>1</v>
      </c>
      <c r="E26" s="100">
        <f t="shared" si="13"/>
        <v>1</v>
      </c>
      <c r="F26" s="58">
        <f t="shared" si="3"/>
        <v>1</v>
      </c>
      <c r="G26" s="58">
        <f t="shared" si="4"/>
        <v>1</v>
      </c>
      <c r="H26" s="58">
        <f t="shared" si="5"/>
        <v>1</v>
      </c>
      <c r="I26" s="58">
        <f t="shared" si="6"/>
        <v>1</v>
      </c>
      <c r="J26" s="58">
        <f t="shared" si="7"/>
        <v>1</v>
      </c>
      <c r="K26" s="100">
        <f t="shared" si="12"/>
        <v>1</v>
      </c>
      <c r="L26" s="58">
        <f t="shared" si="12"/>
        <v>1</v>
      </c>
      <c r="M26" s="58">
        <f t="shared" si="12"/>
        <v>1</v>
      </c>
      <c r="N26" s="58">
        <f t="shared" si="12"/>
        <v>1</v>
      </c>
      <c r="O26" s="58"/>
      <c r="P26" s="58"/>
      <c r="Q26" s="58"/>
    </row>
    <row r="27" spans="1:17" ht="43.5" customHeight="1" x14ac:dyDescent="0.25">
      <c r="A27" s="94" t="s">
        <v>580</v>
      </c>
      <c r="B27" s="58">
        <v>100812</v>
      </c>
      <c r="C27" s="94" t="s">
        <v>430</v>
      </c>
      <c r="D27" s="92">
        <v>1.75</v>
      </c>
      <c r="E27" s="100">
        <f t="shared" si="13"/>
        <v>1</v>
      </c>
      <c r="F27" s="58">
        <f t="shared" si="3"/>
        <v>2</v>
      </c>
      <c r="G27" s="58">
        <f t="shared" si="4"/>
        <v>2</v>
      </c>
      <c r="H27" s="58">
        <f t="shared" si="5"/>
        <v>2</v>
      </c>
      <c r="I27" s="58">
        <f t="shared" si="6"/>
        <v>2</v>
      </c>
      <c r="J27" s="58">
        <f t="shared" si="7"/>
        <v>2</v>
      </c>
      <c r="K27" s="100">
        <f t="shared" si="12"/>
        <v>1</v>
      </c>
      <c r="L27" s="58">
        <f t="shared" si="12"/>
        <v>1</v>
      </c>
      <c r="M27" s="58">
        <f t="shared" si="12"/>
        <v>1</v>
      </c>
      <c r="N27" s="58">
        <f t="shared" si="12"/>
        <v>1</v>
      </c>
      <c r="O27" s="58"/>
      <c r="P27" s="58"/>
      <c r="Q27" s="58"/>
    </row>
    <row r="28" spans="1:17" ht="43.5" customHeight="1" x14ac:dyDescent="0.25">
      <c r="A28" s="94" t="s">
        <v>580</v>
      </c>
      <c r="B28" s="58">
        <v>100813</v>
      </c>
      <c r="C28" s="94" t="s">
        <v>431</v>
      </c>
      <c r="D28" s="92">
        <v>2.75</v>
      </c>
      <c r="E28" s="100">
        <f t="shared" si="13"/>
        <v>1</v>
      </c>
      <c r="F28" s="58">
        <f t="shared" si="3"/>
        <v>3</v>
      </c>
      <c r="G28" s="58">
        <f t="shared" si="4"/>
        <v>3</v>
      </c>
      <c r="H28" s="58">
        <f t="shared" si="5"/>
        <v>3</v>
      </c>
      <c r="I28" s="58">
        <f t="shared" si="6"/>
        <v>3</v>
      </c>
      <c r="J28" s="58">
        <f t="shared" si="7"/>
        <v>3</v>
      </c>
      <c r="K28" s="100">
        <f t="shared" si="12"/>
        <v>1</v>
      </c>
      <c r="L28" s="58">
        <f t="shared" si="12"/>
        <v>1</v>
      </c>
      <c r="M28" s="58">
        <f t="shared" si="12"/>
        <v>1</v>
      </c>
      <c r="N28" s="58">
        <f t="shared" si="12"/>
        <v>1</v>
      </c>
      <c r="O28" s="58"/>
      <c r="P28" s="58"/>
      <c r="Q28" s="58"/>
    </row>
    <row r="29" spans="1:17" ht="43.5" customHeight="1" x14ac:dyDescent="0.25">
      <c r="A29" s="94" t="s">
        <v>580</v>
      </c>
      <c r="B29" s="58">
        <v>100814</v>
      </c>
      <c r="C29" s="94" t="s">
        <v>432</v>
      </c>
      <c r="D29" s="92">
        <v>1</v>
      </c>
      <c r="E29" s="100">
        <f t="shared" si="13"/>
        <v>1</v>
      </c>
      <c r="F29" s="58">
        <f t="shared" si="3"/>
        <v>1</v>
      </c>
      <c r="G29" s="58">
        <f t="shared" si="4"/>
        <v>1</v>
      </c>
      <c r="H29" s="58">
        <f t="shared" si="5"/>
        <v>1</v>
      </c>
      <c r="I29" s="58">
        <f t="shared" si="6"/>
        <v>1</v>
      </c>
      <c r="J29" s="58">
        <f t="shared" si="7"/>
        <v>1</v>
      </c>
      <c r="K29" s="100">
        <f t="shared" si="12"/>
        <v>1</v>
      </c>
      <c r="L29" s="58">
        <f t="shared" si="12"/>
        <v>1</v>
      </c>
      <c r="M29" s="58">
        <f t="shared" si="12"/>
        <v>1</v>
      </c>
      <c r="N29" s="58">
        <f t="shared" si="12"/>
        <v>1</v>
      </c>
      <c r="O29" s="58"/>
      <c r="P29" s="58"/>
      <c r="Q29" s="58"/>
    </row>
    <row r="30" spans="1:17" ht="43.5" customHeight="1" x14ac:dyDescent="0.25">
      <c r="A30" s="94" t="s">
        <v>580</v>
      </c>
      <c r="B30" s="58">
        <v>100816</v>
      </c>
      <c r="C30" s="94" t="s">
        <v>433</v>
      </c>
      <c r="D30" s="92">
        <v>0.75</v>
      </c>
      <c r="E30" s="100">
        <f t="shared" si="13"/>
        <v>1</v>
      </c>
      <c r="F30" s="58">
        <f t="shared" si="3"/>
        <v>1</v>
      </c>
      <c r="G30" s="58">
        <f t="shared" si="4"/>
        <v>1</v>
      </c>
      <c r="H30" s="58">
        <f t="shared" si="5"/>
        <v>1</v>
      </c>
      <c r="I30" s="58">
        <f t="shared" si="6"/>
        <v>1</v>
      </c>
      <c r="J30" s="58">
        <f t="shared" si="7"/>
        <v>1</v>
      </c>
      <c r="K30" s="100">
        <f t="shared" si="12"/>
        <v>1</v>
      </c>
      <c r="L30" s="58">
        <f t="shared" si="12"/>
        <v>1</v>
      </c>
      <c r="M30" s="58">
        <f t="shared" si="12"/>
        <v>1</v>
      </c>
      <c r="N30" s="58">
        <f t="shared" si="12"/>
        <v>1</v>
      </c>
      <c r="O30" s="58"/>
      <c r="P30" s="58"/>
      <c r="Q30" s="58"/>
    </row>
    <row r="31" spans="1:17" ht="43.5" customHeight="1" x14ac:dyDescent="0.25">
      <c r="A31" s="94" t="s">
        <v>580</v>
      </c>
      <c r="B31" s="58">
        <v>100818</v>
      </c>
      <c r="C31" s="94" t="s">
        <v>434</v>
      </c>
      <c r="D31" s="92">
        <v>3</v>
      </c>
      <c r="E31" s="100">
        <f t="shared" si="13"/>
        <v>2</v>
      </c>
      <c r="F31" s="58">
        <f t="shared" si="3"/>
        <v>3</v>
      </c>
      <c r="G31" s="58">
        <f t="shared" si="4"/>
        <v>3</v>
      </c>
      <c r="H31" s="58">
        <f t="shared" si="5"/>
        <v>3</v>
      </c>
      <c r="I31" s="58">
        <f t="shared" si="6"/>
        <v>3</v>
      </c>
      <c r="J31" s="58">
        <f t="shared" si="7"/>
        <v>3</v>
      </c>
      <c r="K31" s="100">
        <f t="shared" si="12"/>
        <v>1</v>
      </c>
      <c r="L31" s="58">
        <f t="shared" si="12"/>
        <v>1</v>
      </c>
      <c r="M31" s="58">
        <f t="shared" si="12"/>
        <v>1</v>
      </c>
      <c r="N31" s="58">
        <f t="shared" si="12"/>
        <v>1</v>
      </c>
      <c r="O31" s="58"/>
      <c r="P31" s="58"/>
      <c r="Q31" s="58"/>
    </row>
    <row r="32" spans="1:17" ht="43.5" customHeight="1" x14ac:dyDescent="0.25">
      <c r="A32" s="94" t="s">
        <v>581</v>
      </c>
      <c r="B32" s="58">
        <v>1020</v>
      </c>
      <c r="C32" s="94" t="s">
        <v>435</v>
      </c>
      <c r="D32" s="92">
        <v>4.25</v>
      </c>
      <c r="E32" s="100">
        <f>IF($D32*$E$4&lt;2.5,2,IF($D32*$E$4&gt;=2.5,3,0))</f>
        <v>2</v>
      </c>
      <c r="F32" s="58">
        <f t="shared" si="3"/>
        <v>4</v>
      </c>
      <c r="G32" s="58">
        <f t="shared" si="4"/>
        <v>4</v>
      </c>
      <c r="H32" s="58">
        <f t="shared" si="5"/>
        <v>4</v>
      </c>
      <c r="I32" s="58">
        <f t="shared" si="6"/>
        <v>4</v>
      </c>
      <c r="J32" s="58">
        <f t="shared" si="7"/>
        <v>4</v>
      </c>
      <c r="K32" s="100">
        <f t="shared" si="12"/>
        <v>1</v>
      </c>
      <c r="L32" s="58">
        <f t="shared" si="12"/>
        <v>1</v>
      </c>
      <c r="M32" s="58">
        <f t="shared" si="12"/>
        <v>1</v>
      </c>
      <c r="N32" s="58">
        <f t="shared" si="12"/>
        <v>1</v>
      </c>
      <c r="O32" s="58"/>
      <c r="P32" s="58"/>
      <c r="Q32" s="58"/>
    </row>
    <row r="33" spans="1:17" ht="43.5" customHeight="1" x14ac:dyDescent="0.25">
      <c r="A33" s="94" t="s">
        <v>581</v>
      </c>
      <c r="B33" s="58">
        <v>102001</v>
      </c>
      <c r="C33" s="94" t="s">
        <v>436</v>
      </c>
      <c r="D33" s="92">
        <v>15.85</v>
      </c>
      <c r="E33" s="100">
        <f>IF($D33*$E$4&lt;7.5,7,IF($D33*$E$4&gt;=7.5,8,0))</f>
        <v>8</v>
      </c>
      <c r="F33" s="58">
        <f t="shared" si="3"/>
        <v>16</v>
      </c>
      <c r="G33" s="58">
        <f t="shared" si="4"/>
        <v>16</v>
      </c>
      <c r="H33" s="58">
        <f t="shared" si="5"/>
        <v>16</v>
      </c>
      <c r="I33" s="58">
        <f t="shared" si="6"/>
        <v>16</v>
      </c>
      <c r="J33" s="58">
        <f t="shared" si="7"/>
        <v>16</v>
      </c>
      <c r="K33" s="100">
        <f>IF(AND($D33&gt;=15,$D33&lt;25),2,0)</f>
        <v>2</v>
      </c>
      <c r="L33" s="58">
        <f>IF(AND($D33&gt;=15,$D33&lt;25),2,0)</f>
        <v>2</v>
      </c>
      <c r="M33" s="58">
        <f>IF(AND($D33&gt;=15,$D33&lt;25),2,0)</f>
        <v>2</v>
      </c>
      <c r="N33" s="58">
        <f>IF(AND($D33&gt;=15,$D33&lt;25),2,0)</f>
        <v>2</v>
      </c>
      <c r="O33" s="58"/>
      <c r="P33" s="58"/>
      <c r="Q33" s="58"/>
    </row>
    <row r="34" spans="1:17" ht="43.5" customHeight="1" x14ac:dyDescent="0.25">
      <c r="A34" s="94" t="s">
        <v>581</v>
      </c>
      <c r="B34" s="58">
        <v>102002</v>
      </c>
      <c r="C34" s="94" t="s">
        <v>437</v>
      </c>
      <c r="D34" s="92">
        <v>5.0999999999999996</v>
      </c>
      <c r="E34" s="100">
        <f>IF($D34*$E$4&lt;2.5,2,IF($D34*$E$4&gt;=2.5,3,0))</f>
        <v>3</v>
      </c>
      <c r="F34" s="58">
        <f t="shared" si="3"/>
        <v>5</v>
      </c>
      <c r="G34" s="58">
        <f t="shared" si="4"/>
        <v>5</v>
      </c>
      <c r="H34" s="58">
        <f t="shared" si="5"/>
        <v>5</v>
      </c>
      <c r="I34" s="58">
        <f t="shared" si="6"/>
        <v>5</v>
      </c>
      <c r="J34" s="58">
        <f t="shared" si="7"/>
        <v>5</v>
      </c>
      <c r="K34" s="100">
        <f t="shared" ref="K34:N35" si="14">IF(AND($D34&gt;=0,$D34&lt;15),1,0)</f>
        <v>1</v>
      </c>
      <c r="L34" s="58">
        <f t="shared" si="14"/>
        <v>1</v>
      </c>
      <c r="M34" s="58">
        <f t="shared" si="14"/>
        <v>1</v>
      </c>
      <c r="N34" s="58">
        <f t="shared" si="14"/>
        <v>1</v>
      </c>
      <c r="O34" s="58"/>
      <c r="P34" s="58"/>
      <c r="Q34" s="58"/>
    </row>
    <row r="35" spans="1:17" ht="43.5" customHeight="1" x14ac:dyDescent="0.25">
      <c r="A35" s="94" t="s">
        <v>581</v>
      </c>
      <c r="B35" s="58">
        <v>102003</v>
      </c>
      <c r="C35" s="94" t="s">
        <v>438</v>
      </c>
      <c r="D35" s="92">
        <v>9.85</v>
      </c>
      <c r="E35" s="100">
        <f>IF($D35*$E$4&lt;3.5,3,IF($D35*$E$4&lt;4.5,4,IF($D35*$E$4&gt;=4.5,5,0)))</f>
        <v>5</v>
      </c>
      <c r="F35" s="58">
        <f t="shared" si="3"/>
        <v>10</v>
      </c>
      <c r="G35" s="58">
        <f t="shared" si="4"/>
        <v>10</v>
      </c>
      <c r="H35" s="58">
        <f t="shared" si="5"/>
        <v>10</v>
      </c>
      <c r="I35" s="58">
        <f t="shared" si="6"/>
        <v>10</v>
      </c>
      <c r="J35" s="58">
        <f t="shared" si="7"/>
        <v>10</v>
      </c>
      <c r="K35" s="100">
        <f t="shared" si="14"/>
        <v>1</v>
      </c>
      <c r="L35" s="58">
        <f t="shared" si="14"/>
        <v>1</v>
      </c>
      <c r="M35" s="58">
        <f t="shared" si="14"/>
        <v>1</v>
      </c>
      <c r="N35" s="58">
        <f t="shared" si="14"/>
        <v>1</v>
      </c>
      <c r="O35" s="58"/>
      <c r="P35" s="58"/>
      <c r="Q35" s="58"/>
    </row>
    <row r="36" spans="1:17" ht="43.5" customHeight="1" x14ac:dyDescent="0.25">
      <c r="A36" s="94" t="s">
        <v>582</v>
      </c>
      <c r="B36" s="58">
        <v>102006</v>
      </c>
      <c r="C36" s="94" t="s">
        <v>439</v>
      </c>
      <c r="D36" s="92">
        <v>15.6</v>
      </c>
      <c r="E36" s="100">
        <f>IF($D36*$E$4&lt;7.5,7,IF($D36*$E$4&gt;=7.5,8,0))</f>
        <v>8</v>
      </c>
      <c r="F36" s="58">
        <f t="shared" si="3"/>
        <v>16</v>
      </c>
      <c r="G36" s="58">
        <f t="shared" si="4"/>
        <v>16</v>
      </c>
      <c r="H36" s="58">
        <f t="shared" si="5"/>
        <v>16</v>
      </c>
      <c r="I36" s="58">
        <f t="shared" si="6"/>
        <v>16</v>
      </c>
      <c r="J36" s="58">
        <f t="shared" si="7"/>
        <v>16</v>
      </c>
      <c r="K36" s="100">
        <f>IF(AND($D36&gt;=15,$D36&lt;25),2,0)</f>
        <v>2</v>
      </c>
      <c r="L36" s="58">
        <f>IF(AND($D36&gt;=15,$D36&lt;25),2,0)</f>
        <v>2</v>
      </c>
      <c r="M36" s="58">
        <f>IF(AND($D36&gt;=15,$D36&lt;25),2,0)</f>
        <v>2</v>
      </c>
      <c r="N36" s="58">
        <f>IF(AND($D36&gt;=15,$D36&lt;25),2,0)</f>
        <v>2</v>
      </c>
      <c r="O36" s="58"/>
      <c r="P36" s="58"/>
      <c r="Q36" s="58"/>
    </row>
    <row r="37" spans="1:17" ht="43.5" customHeight="1" x14ac:dyDescent="0.25">
      <c r="A37" s="94" t="s">
        <v>582</v>
      </c>
      <c r="B37" s="58">
        <v>10200601</v>
      </c>
      <c r="C37" s="94" t="s">
        <v>440</v>
      </c>
      <c r="D37" s="92">
        <v>0.1</v>
      </c>
      <c r="E37" s="100">
        <f>IF($D37*$E$4&lt;1.5,1,IF($D37*$E$4&gt;=1.5,2,0))</f>
        <v>1</v>
      </c>
      <c r="F37" s="58">
        <f t="shared" si="3"/>
        <v>1</v>
      </c>
      <c r="G37" s="58">
        <f t="shared" si="4"/>
        <v>1</v>
      </c>
      <c r="H37" s="58">
        <f t="shared" si="5"/>
        <v>1</v>
      </c>
      <c r="I37" s="58">
        <f t="shared" si="6"/>
        <v>1</v>
      </c>
      <c r="J37" s="58">
        <f t="shared" si="7"/>
        <v>1</v>
      </c>
      <c r="K37" s="100">
        <f t="shared" ref="K37:N41" si="15">IF(AND($D37&gt;=0,$D37&lt;15),1,0)</f>
        <v>1</v>
      </c>
      <c r="L37" s="58">
        <f t="shared" si="15"/>
        <v>1</v>
      </c>
      <c r="M37" s="58">
        <f t="shared" si="15"/>
        <v>1</v>
      </c>
      <c r="N37" s="58">
        <f t="shared" si="15"/>
        <v>1</v>
      </c>
      <c r="O37" s="58"/>
      <c r="P37" s="58"/>
      <c r="Q37" s="58"/>
    </row>
    <row r="38" spans="1:17" ht="43.5" customHeight="1" x14ac:dyDescent="0.25">
      <c r="A38" s="94" t="s">
        <v>581</v>
      </c>
      <c r="B38" s="58">
        <v>102007</v>
      </c>
      <c r="C38" s="94" t="s">
        <v>441</v>
      </c>
      <c r="D38" s="92">
        <v>7.1</v>
      </c>
      <c r="E38" s="100">
        <f>IF($D38*$E$4&lt;3.5,3,IF($D38*$E$4&lt;4.5,4,IF($D38*$E$4&gt;=4.5,5,0)))</f>
        <v>4</v>
      </c>
      <c r="F38" s="58">
        <f t="shared" si="3"/>
        <v>7</v>
      </c>
      <c r="G38" s="58">
        <f t="shared" si="4"/>
        <v>7</v>
      </c>
      <c r="H38" s="58">
        <f t="shared" si="5"/>
        <v>7</v>
      </c>
      <c r="I38" s="58">
        <f t="shared" si="6"/>
        <v>7</v>
      </c>
      <c r="J38" s="58">
        <f t="shared" si="7"/>
        <v>7</v>
      </c>
      <c r="K38" s="100">
        <f t="shared" si="15"/>
        <v>1</v>
      </c>
      <c r="L38" s="58">
        <f t="shared" si="15"/>
        <v>1</v>
      </c>
      <c r="M38" s="58">
        <f t="shared" si="15"/>
        <v>1</v>
      </c>
      <c r="N38" s="58">
        <f t="shared" si="15"/>
        <v>1</v>
      </c>
      <c r="O38" s="58"/>
      <c r="P38" s="58"/>
      <c r="Q38" s="58"/>
    </row>
    <row r="39" spans="1:17" ht="43.5" customHeight="1" x14ac:dyDescent="0.25">
      <c r="A39" s="94" t="s">
        <v>581</v>
      </c>
      <c r="B39" s="58">
        <v>102008</v>
      </c>
      <c r="C39" s="94" t="s">
        <v>442</v>
      </c>
      <c r="D39" s="92">
        <v>3.1</v>
      </c>
      <c r="E39" s="100">
        <f>IF($D39*$E$4&lt;1.5,1,IF($D39*$E$4&gt;=1.5,2,0))</f>
        <v>2</v>
      </c>
      <c r="F39" s="58">
        <f t="shared" si="3"/>
        <v>3</v>
      </c>
      <c r="G39" s="58">
        <f t="shared" si="4"/>
        <v>3</v>
      </c>
      <c r="H39" s="58">
        <f t="shared" si="5"/>
        <v>3</v>
      </c>
      <c r="I39" s="58">
        <f t="shared" si="6"/>
        <v>3</v>
      </c>
      <c r="J39" s="58">
        <f t="shared" si="7"/>
        <v>3</v>
      </c>
      <c r="K39" s="100">
        <f t="shared" si="15"/>
        <v>1</v>
      </c>
      <c r="L39" s="58">
        <f t="shared" si="15"/>
        <v>1</v>
      </c>
      <c r="M39" s="58">
        <f t="shared" si="15"/>
        <v>1</v>
      </c>
      <c r="N39" s="58">
        <f t="shared" si="15"/>
        <v>1</v>
      </c>
      <c r="O39" s="58"/>
      <c r="P39" s="58"/>
      <c r="Q39" s="58"/>
    </row>
    <row r="40" spans="1:17" ht="43.5" customHeight="1" x14ac:dyDescent="0.25">
      <c r="A40" s="94" t="s">
        <v>581</v>
      </c>
      <c r="B40" s="58">
        <v>102090</v>
      </c>
      <c r="C40" s="94" t="s">
        <v>92</v>
      </c>
      <c r="D40" s="92">
        <v>0.25</v>
      </c>
      <c r="E40" s="100">
        <f>IF($D40*$E$4&lt;1.5,1,IF($D40*$E$4&gt;=1.5,2,0))</f>
        <v>1</v>
      </c>
      <c r="F40" s="58">
        <f t="shared" si="3"/>
        <v>1</v>
      </c>
      <c r="G40" s="58">
        <f t="shared" si="4"/>
        <v>1</v>
      </c>
      <c r="H40" s="58">
        <f t="shared" si="5"/>
        <v>1</v>
      </c>
      <c r="I40" s="58">
        <f t="shared" si="6"/>
        <v>1</v>
      </c>
      <c r="J40" s="58">
        <f t="shared" si="7"/>
        <v>1</v>
      </c>
      <c r="K40" s="100">
        <f t="shared" si="15"/>
        <v>1</v>
      </c>
      <c r="L40" s="58">
        <f t="shared" si="15"/>
        <v>1</v>
      </c>
      <c r="M40" s="58">
        <f t="shared" si="15"/>
        <v>1</v>
      </c>
      <c r="N40" s="58">
        <f t="shared" si="15"/>
        <v>1</v>
      </c>
      <c r="O40" s="58"/>
      <c r="P40" s="58"/>
      <c r="Q40" s="58"/>
    </row>
    <row r="41" spans="1:17" ht="43.5" customHeight="1" x14ac:dyDescent="0.25">
      <c r="A41" s="94" t="s">
        <v>583</v>
      </c>
      <c r="B41" s="58">
        <v>1030</v>
      </c>
      <c r="C41" s="94" t="s">
        <v>443</v>
      </c>
      <c r="D41" s="92">
        <v>4</v>
      </c>
      <c r="E41" s="100">
        <f>IF($D41*$E$4&lt;2.5,2,IF($D41*$E$4&gt;=2.5,3,0))</f>
        <v>2</v>
      </c>
      <c r="F41" s="58">
        <f t="shared" si="3"/>
        <v>4</v>
      </c>
      <c r="G41" s="58">
        <f t="shared" si="4"/>
        <v>4</v>
      </c>
      <c r="H41" s="58">
        <f t="shared" si="5"/>
        <v>4</v>
      </c>
      <c r="I41" s="58">
        <f t="shared" si="6"/>
        <v>4</v>
      </c>
      <c r="J41" s="58">
        <f t="shared" si="7"/>
        <v>4</v>
      </c>
      <c r="K41" s="100">
        <f t="shared" si="15"/>
        <v>1</v>
      </c>
      <c r="L41" s="58">
        <f t="shared" si="15"/>
        <v>1</v>
      </c>
      <c r="M41" s="58">
        <f t="shared" si="15"/>
        <v>1</v>
      </c>
      <c r="N41" s="58">
        <f t="shared" si="15"/>
        <v>1</v>
      </c>
      <c r="O41" s="58"/>
      <c r="P41" s="58"/>
      <c r="Q41" s="58"/>
    </row>
    <row r="42" spans="1:17" ht="43.5" customHeight="1" x14ac:dyDescent="0.25">
      <c r="A42" s="94" t="s">
        <v>583</v>
      </c>
      <c r="B42" s="58">
        <v>103001</v>
      </c>
      <c r="C42" s="94" t="s">
        <v>444</v>
      </c>
      <c r="D42" s="92">
        <v>21.650000000000002</v>
      </c>
      <c r="E42" s="100">
        <f>IF($D42*$E$4&lt;11.5,11,IF($D42*$E$4&gt;=11.5,12,0))</f>
        <v>11</v>
      </c>
      <c r="F42" s="58">
        <f t="shared" si="3"/>
        <v>22</v>
      </c>
      <c r="G42" s="58">
        <f t="shared" si="4"/>
        <v>22</v>
      </c>
      <c r="H42" s="58">
        <f t="shared" si="5"/>
        <v>22</v>
      </c>
      <c r="I42" s="58">
        <f t="shared" si="6"/>
        <v>22</v>
      </c>
      <c r="J42" s="58">
        <f t="shared" si="7"/>
        <v>22</v>
      </c>
      <c r="K42" s="100">
        <f>IF(AND($D42&gt;=15,$D42&lt;25),2,0)</f>
        <v>2</v>
      </c>
      <c r="L42" s="58">
        <f>IF(AND($D42&gt;=15,$D42&lt;25),2,0)</f>
        <v>2</v>
      </c>
      <c r="M42" s="58">
        <f>IF(AND($D42&gt;=15,$D42&lt;25),2,0)</f>
        <v>2</v>
      </c>
      <c r="N42" s="58">
        <f>IF(AND($D42&gt;=15,$D42&lt;25),2,0)</f>
        <v>2</v>
      </c>
      <c r="O42" s="58"/>
      <c r="P42" s="58"/>
      <c r="Q42" s="58"/>
    </row>
    <row r="43" spans="1:17" ht="43.5" customHeight="1" x14ac:dyDescent="0.25">
      <c r="A43" s="94" t="s">
        <v>583</v>
      </c>
      <c r="B43" s="58">
        <v>103002</v>
      </c>
      <c r="C43" s="94" t="s">
        <v>445</v>
      </c>
      <c r="D43" s="92">
        <v>40.75</v>
      </c>
      <c r="E43" s="100">
        <f>IF($D43*$E$4&lt;20.5,20,IF($D43*$E$4&gt;=20.5,21,0))</f>
        <v>20</v>
      </c>
      <c r="F43" s="58">
        <f t="shared" si="3"/>
        <v>41</v>
      </c>
      <c r="G43" s="58">
        <f t="shared" si="4"/>
        <v>41</v>
      </c>
      <c r="H43" s="58">
        <f t="shared" si="5"/>
        <v>41</v>
      </c>
      <c r="I43" s="58">
        <f t="shared" si="6"/>
        <v>41</v>
      </c>
      <c r="J43" s="58">
        <f t="shared" si="7"/>
        <v>41</v>
      </c>
      <c r="K43" s="100">
        <f>IF(AND($D43&gt;=35,$D43&lt;45),4,0)</f>
        <v>4</v>
      </c>
      <c r="L43" s="58">
        <f>IF(AND($D43&gt;=35,$D43&lt;45),4,0)</f>
        <v>4</v>
      </c>
      <c r="M43" s="58">
        <f>IF(AND($D43&gt;=35,$D43&lt;45),4,0)</f>
        <v>4</v>
      </c>
      <c r="N43" s="58">
        <f>IF(AND($D43&gt;=35,$D43&lt;45),4,0)</f>
        <v>4</v>
      </c>
      <c r="O43" s="58"/>
      <c r="P43" s="58"/>
      <c r="Q43" s="58"/>
    </row>
    <row r="44" spans="1:17" ht="43.5" customHeight="1" x14ac:dyDescent="0.25">
      <c r="A44" s="94" t="s">
        <v>583</v>
      </c>
      <c r="B44" s="58">
        <v>1030021</v>
      </c>
      <c r="C44" s="94" t="s">
        <v>446</v>
      </c>
      <c r="D44" s="92">
        <v>0.1</v>
      </c>
      <c r="E44" s="100">
        <f>IF($D44*$E$4&lt;1.5,1,IF($D44*$E$4&gt;=1.5,2,0))</f>
        <v>1</v>
      </c>
      <c r="F44" s="58">
        <f t="shared" si="3"/>
        <v>1</v>
      </c>
      <c r="G44" s="58">
        <f t="shared" si="4"/>
        <v>1</v>
      </c>
      <c r="H44" s="58">
        <f t="shared" si="5"/>
        <v>1</v>
      </c>
      <c r="I44" s="58">
        <f t="shared" si="6"/>
        <v>1</v>
      </c>
      <c r="J44" s="58">
        <f t="shared" si="7"/>
        <v>1</v>
      </c>
      <c r="K44" s="100">
        <f t="shared" ref="K44:N59" si="16">IF(AND($D44&gt;=0,$D44&lt;15),1,0)</f>
        <v>1</v>
      </c>
      <c r="L44" s="58">
        <f t="shared" si="16"/>
        <v>1</v>
      </c>
      <c r="M44" s="58">
        <f t="shared" si="16"/>
        <v>1</v>
      </c>
      <c r="N44" s="58">
        <f t="shared" si="16"/>
        <v>1</v>
      </c>
      <c r="O44" s="58"/>
      <c r="P44" s="58"/>
      <c r="Q44" s="58"/>
    </row>
    <row r="45" spans="1:17" ht="43.5" customHeight="1" x14ac:dyDescent="0.25">
      <c r="A45" s="94" t="s">
        <v>583</v>
      </c>
      <c r="B45" s="58">
        <v>1030022</v>
      </c>
      <c r="C45" s="94" t="s">
        <v>102</v>
      </c>
      <c r="D45" s="92">
        <v>0.25</v>
      </c>
      <c r="E45" s="100">
        <f>IF($D45*$E$4&lt;1.5,1,IF($D45*$E$4&gt;=1.5,2,0))</f>
        <v>1</v>
      </c>
      <c r="F45" s="58">
        <f t="shared" si="3"/>
        <v>1</v>
      </c>
      <c r="G45" s="58">
        <f t="shared" si="4"/>
        <v>1</v>
      </c>
      <c r="H45" s="58">
        <f t="shared" si="5"/>
        <v>1</v>
      </c>
      <c r="I45" s="58">
        <f t="shared" si="6"/>
        <v>1</v>
      </c>
      <c r="J45" s="58">
        <f t="shared" si="7"/>
        <v>1</v>
      </c>
      <c r="K45" s="100">
        <f t="shared" si="16"/>
        <v>1</v>
      </c>
      <c r="L45" s="58">
        <f t="shared" si="16"/>
        <v>1</v>
      </c>
      <c r="M45" s="58">
        <f t="shared" si="16"/>
        <v>1</v>
      </c>
      <c r="N45" s="58">
        <f t="shared" si="16"/>
        <v>1</v>
      </c>
      <c r="O45" s="58"/>
      <c r="P45" s="58"/>
      <c r="Q45" s="58"/>
    </row>
    <row r="46" spans="1:17" ht="43.5" customHeight="1" x14ac:dyDescent="0.25">
      <c r="A46" s="94" t="s">
        <v>583</v>
      </c>
      <c r="B46" s="58">
        <v>1030023</v>
      </c>
      <c r="C46" s="94" t="s">
        <v>104</v>
      </c>
      <c r="D46" s="92">
        <v>0.25</v>
      </c>
      <c r="E46" s="100">
        <f>IF($D46*$E$4&lt;1.5,1,IF($D46*$E$4&gt;=1.5,2,0))</f>
        <v>1</v>
      </c>
      <c r="F46" s="58">
        <f t="shared" si="3"/>
        <v>1</v>
      </c>
      <c r="G46" s="58">
        <f t="shared" si="4"/>
        <v>1</v>
      </c>
      <c r="H46" s="58">
        <f t="shared" si="5"/>
        <v>1</v>
      </c>
      <c r="I46" s="58">
        <f t="shared" si="6"/>
        <v>1</v>
      </c>
      <c r="J46" s="58">
        <f t="shared" si="7"/>
        <v>1</v>
      </c>
      <c r="K46" s="100">
        <f t="shared" si="16"/>
        <v>1</v>
      </c>
      <c r="L46" s="58">
        <f t="shared" si="16"/>
        <v>1</v>
      </c>
      <c r="M46" s="58">
        <f t="shared" si="16"/>
        <v>1</v>
      </c>
      <c r="N46" s="58">
        <f t="shared" si="16"/>
        <v>1</v>
      </c>
      <c r="O46" s="58"/>
      <c r="P46" s="58"/>
      <c r="Q46" s="58"/>
    </row>
    <row r="47" spans="1:17" ht="43.5" customHeight="1" x14ac:dyDescent="0.25">
      <c r="A47" s="94" t="s">
        <v>583</v>
      </c>
      <c r="B47" s="58">
        <v>1030024</v>
      </c>
      <c r="C47" s="94" t="s">
        <v>106</v>
      </c>
      <c r="D47" s="92">
        <v>0.25</v>
      </c>
      <c r="E47" s="100">
        <f>IF($D47*$E$4&lt;1.5,1,IF($D47*$E$4&gt;=1.5,2,0))</f>
        <v>1</v>
      </c>
      <c r="F47" s="58">
        <f t="shared" si="3"/>
        <v>1</v>
      </c>
      <c r="G47" s="58">
        <f t="shared" si="4"/>
        <v>1</v>
      </c>
      <c r="H47" s="58">
        <f t="shared" si="5"/>
        <v>1</v>
      </c>
      <c r="I47" s="58">
        <f t="shared" si="6"/>
        <v>1</v>
      </c>
      <c r="J47" s="58">
        <f t="shared" si="7"/>
        <v>1</v>
      </c>
      <c r="K47" s="100">
        <f t="shared" si="16"/>
        <v>1</v>
      </c>
      <c r="L47" s="58">
        <f t="shared" si="16"/>
        <v>1</v>
      </c>
      <c r="M47" s="58">
        <f t="shared" si="16"/>
        <v>1</v>
      </c>
      <c r="N47" s="58">
        <f t="shared" si="16"/>
        <v>1</v>
      </c>
      <c r="O47" s="58"/>
      <c r="P47" s="58"/>
      <c r="Q47" s="58"/>
    </row>
    <row r="48" spans="1:17" ht="43.5" customHeight="1" x14ac:dyDescent="0.25">
      <c r="A48" s="94" t="s">
        <v>583</v>
      </c>
      <c r="B48" s="58">
        <v>103005</v>
      </c>
      <c r="C48" s="94" t="s">
        <v>447</v>
      </c>
      <c r="D48" s="92">
        <v>8</v>
      </c>
      <c r="E48" s="100">
        <f>IF($D48*$E$4&lt;3.5,3,IF($D48*$E$4&lt;4.5,4,IF($D48*$E$4&gt;=4.5,5,0)))</f>
        <v>4</v>
      </c>
      <c r="F48" s="58">
        <f t="shared" si="3"/>
        <v>8</v>
      </c>
      <c r="G48" s="58">
        <f t="shared" si="4"/>
        <v>8</v>
      </c>
      <c r="H48" s="58">
        <f t="shared" si="5"/>
        <v>8</v>
      </c>
      <c r="I48" s="58">
        <f t="shared" si="6"/>
        <v>8</v>
      </c>
      <c r="J48" s="58">
        <f t="shared" si="7"/>
        <v>8</v>
      </c>
      <c r="K48" s="100">
        <f t="shared" si="16"/>
        <v>1</v>
      </c>
      <c r="L48" s="58">
        <f t="shared" si="16"/>
        <v>1</v>
      </c>
      <c r="M48" s="58">
        <f t="shared" si="16"/>
        <v>1</v>
      </c>
      <c r="N48" s="58">
        <f t="shared" si="16"/>
        <v>1</v>
      </c>
      <c r="O48" s="58"/>
      <c r="P48" s="58"/>
      <c r="Q48" s="58"/>
    </row>
    <row r="49" spans="1:17" ht="43.5" customHeight="1" x14ac:dyDescent="0.25">
      <c r="A49" s="94" t="s">
        <v>584</v>
      </c>
      <c r="B49" s="58">
        <v>1032</v>
      </c>
      <c r="C49" s="94" t="s">
        <v>448</v>
      </c>
      <c r="D49" s="92">
        <v>1.5</v>
      </c>
      <c r="E49" s="100">
        <f>IF($D49*$E$4&lt;1.5,1,IF($D49*$E$4&gt;=1.5,2,0))</f>
        <v>1</v>
      </c>
      <c r="F49" s="58">
        <f t="shared" si="3"/>
        <v>2</v>
      </c>
      <c r="G49" s="58">
        <f t="shared" si="4"/>
        <v>2</v>
      </c>
      <c r="H49" s="58">
        <f t="shared" si="5"/>
        <v>2</v>
      </c>
      <c r="I49" s="58">
        <f t="shared" si="6"/>
        <v>2</v>
      </c>
      <c r="J49" s="58">
        <f t="shared" si="7"/>
        <v>2</v>
      </c>
      <c r="K49" s="100">
        <f t="shared" si="16"/>
        <v>1</v>
      </c>
      <c r="L49" s="58">
        <f t="shared" si="16"/>
        <v>1</v>
      </c>
      <c r="M49" s="58">
        <f t="shared" si="16"/>
        <v>1</v>
      </c>
      <c r="N49" s="58">
        <f t="shared" si="16"/>
        <v>1</v>
      </c>
      <c r="O49" s="58"/>
      <c r="P49" s="58"/>
      <c r="Q49" s="58"/>
    </row>
    <row r="50" spans="1:17" ht="43.5" customHeight="1" x14ac:dyDescent="0.25">
      <c r="A50" s="94" t="s">
        <v>584</v>
      </c>
      <c r="B50" s="58">
        <v>103201</v>
      </c>
      <c r="C50" s="94" t="s">
        <v>449</v>
      </c>
      <c r="D50" s="92">
        <v>9.25</v>
      </c>
      <c r="E50" s="100">
        <f>IF($D50*$E$4&lt;3.5,3,IF($D50*$E$4&lt;4.5,4,IF($D50*$E$4&gt;=4.5,5,0)))</f>
        <v>5</v>
      </c>
      <c r="F50" s="58">
        <f t="shared" si="3"/>
        <v>9</v>
      </c>
      <c r="G50" s="58">
        <f t="shared" si="4"/>
        <v>9</v>
      </c>
      <c r="H50" s="58">
        <f t="shared" si="5"/>
        <v>9</v>
      </c>
      <c r="I50" s="58">
        <f t="shared" si="6"/>
        <v>9</v>
      </c>
      <c r="J50" s="58">
        <f t="shared" si="7"/>
        <v>9</v>
      </c>
      <c r="K50" s="100">
        <f t="shared" si="16"/>
        <v>1</v>
      </c>
      <c r="L50" s="58">
        <f t="shared" si="16"/>
        <v>1</v>
      </c>
      <c r="M50" s="58">
        <f t="shared" si="16"/>
        <v>1</v>
      </c>
      <c r="N50" s="58">
        <f t="shared" si="16"/>
        <v>1</v>
      </c>
      <c r="O50" s="58"/>
      <c r="P50" s="58"/>
      <c r="Q50" s="58"/>
    </row>
    <row r="51" spans="1:17" ht="43.5" customHeight="1" x14ac:dyDescent="0.25">
      <c r="A51" s="94" t="s">
        <v>584</v>
      </c>
      <c r="B51" s="58">
        <v>103203</v>
      </c>
      <c r="C51" s="94" t="s">
        <v>450</v>
      </c>
      <c r="D51" s="92">
        <v>9.5</v>
      </c>
      <c r="E51" s="100">
        <f>IF($D51*$E$4&lt;3.5,3,IF($D51*$E$4&lt;4.5,4,IF($D51*$E$4&gt;=4.5,5,0)))</f>
        <v>5</v>
      </c>
      <c r="F51" s="58">
        <f t="shared" si="3"/>
        <v>10</v>
      </c>
      <c r="G51" s="58">
        <f t="shared" si="4"/>
        <v>10</v>
      </c>
      <c r="H51" s="58">
        <f t="shared" si="5"/>
        <v>10</v>
      </c>
      <c r="I51" s="58">
        <f t="shared" si="6"/>
        <v>10</v>
      </c>
      <c r="J51" s="58">
        <f t="shared" si="7"/>
        <v>10</v>
      </c>
      <c r="K51" s="100">
        <f t="shared" si="16"/>
        <v>1</v>
      </c>
      <c r="L51" s="58">
        <f t="shared" si="16"/>
        <v>1</v>
      </c>
      <c r="M51" s="58">
        <f t="shared" si="16"/>
        <v>1</v>
      </c>
      <c r="N51" s="58">
        <f t="shared" si="16"/>
        <v>1</v>
      </c>
      <c r="O51" s="58"/>
      <c r="P51" s="58"/>
      <c r="Q51" s="58"/>
    </row>
    <row r="52" spans="1:17" ht="43.5" customHeight="1" x14ac:dyDescent="0.25">
      <c r="A52" s="94" t="s">
        <v>584</v>
      </c>
      <c r="B52" s="58">
        <v>103204</v>
      </c>
      <c r="C52" s="94" t="s">
        <v>451</v>
      </c>
      <c r="D52" s="92">
        <v>3.25</v>
      </c>
      <c r="E52" s="100">
        <f>IF($D52*$E$4&lt;1.5,1,IF($D52*$E$4&gt;=1.5,2,0))</f>
        <v>2</v>
      </c>
      <c r="F52" s="58">
        <f t="shared" si="3"/>
        <v>3</v>
      </c>
      <c r="G52" s="58">
        <f t="shared" si="4"/>
        <v>3</v>
      </c>
      <c r="H52" s="58">
        <f t="shared" si="5"/>
        <v>3</v>
      </c>
      <c r="I52" s="58">
        <f t="shared" si="6"/>
        <v>3</v>
      </c>
      <c r="J52" s="58">
        <f t="shared" si="7"/>
        <v>3</v>
      </c>
      <c r="K52" s="100">
        <f t="shared" si="16"/>
        <v>1</v>
      </c>
      <c r="L52" s="58">
        <f t="shared" si="16"/>
        <v>1</v>
      </c>
      <c r="M52" s="58">
        <f t="shared" si="16"/>
        <v>1</v>
      </c>
      <c r="N52" s="58">
        <f t="shared" si="16"/>
        <v>1</v>
      </c>
      <c r="O52" s="58"/>
      <c r="P52" s="58"/>
      <c r="Q52" s="58"/>
    </row>
    <row r="53" spans="1:17" ht="43.5" customHeight="1" x14ac:dyDescent="0.25">
      <c r="A53" s="94" t="s">
        <v>584</v>
      </c>
      <c r="B53" s="58">
        <v>103205</v>
      </c>
      <c r="C53" s="94" t="s">
        <v>452</v>
      </c>
      <c r="D53" s="92">
        <v>0.1</v>
      </c>
      <c r="E53" s="100">
        <f>IF($D53*$E$4&lt;1.5,1,IF($D53*$E$4&gt;=1.5,2,0))</f>
        <v>1</v>
      </c>
      <c r="F53" s="58">
        <f>IF(AND($D53*$F$4&gt;=0,$D53&lt;1.5),1,IF(AND($D53*$F$4&gt;=1.5,$D53&lt;2.5),2,IF(AND($D53*$F$4&gt;=2.5,$D53&lt;3.5),3,IF(AND($D53*$F$4&gt;=3.5,$D53&lt;4.5),4,IF(AND($D53*$F$4&gt;=4.5,$D53&lt;5.5),5,IF(AND($D53*$F$4&gt;=5.5,$D53&lt;6.5),6,IF(AND($D53*$F$4&gt;=6.5,$D53&lt;7.5),7,IF(AND($D53*$F$4&gt;=7.5,$D53&lt;8.5),8,IF(AND($D53*$F$4&gt;=8.5,$D53&lt;9.5),9,IF(AND($D53*$F$4&gt;=9.5,$D53&lt;10.5),10,IF(AND($D53*$F$4&gt;=10.5,$D53&lt;11.5),11,IF(AND($D53*$F$4&gt;=11.5,$D53&lt;12.5),12,IF(AND($D53*$F$4&gt;=12.5,$D53&lt;13.5),13,IF(AND($D53*$F$4&gt;=13.5,$D53&lt;14.5),14,IF(AND($D53*$F$4&gt;=14.5,$D53&lt;15.5),15,IF(AND($D53*$F$4&gt;=15.5,$D53&lt;16.5),16,IF(AND($D53*$F$4&gt;=16.5,$D53&lt;17.5),17,IF(AND($D53*$F$4&gt;=17.5,$D53&lt;18.5),18,IF(AND($D53*$F$4&gt;=18.5,$D53&lt;19.5),19,IF(AND($D53*$F$4&gt;=19.5,$D53&lt;20.5),20,IF(AND($D53*$F$4&gt;=20.5,$D53&lt;21.5),21,IF(AND($D53*$F$4&gt;=21.5,$D53&lt;22.5),22,IF(AND($D53*$F$4&gt;=22.5,$D53&lt;23.5),23,IF(AND($D53*$F$4&gt;=23.5,$D53&lt;24.5),24,IF(AND($D53*$F$4&gt;=24.5,$D53&lt;25.5),25,IF(AND($D53*$F$4&gt;=25.5,$D53&lt;26.5),26,IF(AND($D53*$F$4&gt;=26.5,$D53&lt;27.5),27,IF(AND($D53*$F$4&gt;=27.5,$D53&lt;28.5),28,IF(AND($D53*$F$4&gt;=28.5,$D53&lt;29.5),29,IF(AND($D53*$F$4&gt;=29.5,$D53&lt;30.5),30,IF(AND($D53*$F$4&gt;=30.5,$D53&lt;31.5),31,IF(AND($D53*$F$4&gt;=31.5,$D53&lt;32.5),32,IF(AND($D53*$F$4&gt;=32.5,$D53&lt;33.5),33,IF(AND($D53*$F$4&gt;=33.5,$D53&lt;34.5),34,IF(AND($D53*$F$4&gt;=34.5,$D53&lt;35.5),35,IF(AND($D53*$F$4&gt;=35.5,$D53&lt;36.5),36,IF(AND($D53*$F$4&gt;=36.5,$D53&lt;37.5),37,IF(AND($D53*$F$4&gt;=37.5,$D53&lt;38.5),38,IF(AND($D53*$F$4&gt;=38.5,$D53&lt;39.5),39,IF(AND($D53*$F$4&gt;=39.5,$D53&lt;40.5),40,IF(AND($D53*$F$4&gt;=40.5,$D53&lt;41.5),41,IF(AND($D53*$F$4&gt;=41.5,$D53&lt;42.5),42,IF(AND($D53*$F$4&gt;=42.5,$D53&lt;43.5),43,IF(AND($D53*$F$4&gt;=43.5,$D53&lt;44.5),44,IF(AND($D53*$F$4&gt;=44.5,$D53&lt;45.5),45,IF(AND($D53*$F$4&gt;=45.5,$D53&lt;46.5),46,IF(AND($D53*$F$4&gt;=46.5,$D53&lt;47.5),47,IF(AND($D53*$F$4&gt;=47.5,$D53&lt;48.5),48,IF(AND($D53*$F$4&gt;=48.5,$D53&lt;49.5),49,IF(AND($D53*$F$4&gt;=49.5,$D53&lt;50.5),50,IF(AND($D53*$F$4&gt;=50.5,$D53&lt;51.5),51,IF(AND($D53*$F$4&gt;=51.5,$D53&lt;52.5),52,IF(AND($D53*$F$4&gt;=52.5,$D53&lt;53.5),53,IF(AND($D53*$F$4&gt;=53.5,$D53&lt;54.5),54,IF(AND($D53*$F$4&gt;=54.5,$D53&lt;55.5),55,IF(AND($D53*$F$4&gt;=55.5,$D53&lt;56.5),56,IF(AND($D53*$F$4&gt;=64.5,$D53&lt;65.5),65,IF(AND($D53*$F$4&gt;=65.5,$D53&lt;66.5),66,IF(AND($D53*$F$4&gt;=86.5,$D53&lt;87.5),87,IF(AND($D53*$F$4&gt;=87.5,$D53&lt;88.5),88,IF(AND($D53*$F$4&gt;=121.5,$D53&lt;122.5),122,IF(AND($D53*$F$4&gt;=122.5,$D53&lt;123.5),123,0))))))))))))))))))))))))))))))))))))))))))))))))))))))))))))))</f>
        <v>1</v>
      </c>
      <c r="G53" s="58">
        <f t="shared" si="4"/>
        <v>1</v>
      </c>
      <c r="H53" s="58">
        <f t="shared" si="5"/>
        <v>1</v>
      </c>
      <c r="I53" s="58">
        <f t="shared" si="6"/>
        <v>1</v>
      </c>
      <c r="J53" s="58">
        <f t="shared" si="7"/>
        <v>1</v>
      </c>
      <c r="K53" s="100">
        <f t="shared" si="16"/>
        <v>1</v>
      </c>
      <c r="L53" s="58">
        <f t="shared" si="16"/>
        <v>1</v>
      </c>
      <c r="M53" s="58">
        <f t="shared" si="16"/>
        <v>1</v>
      </c>
      <c r="N53" s="58">
        <f t="shared" si="16"/>
        <v>1</v>
      </c>
      <c r="O53" s="58"/>
      <c r="P53" s="58"/>
      <c r="Q53" s="58"/>
    </row>
    <row r="54" spans="1:17" ht="43.5" customHeight="1" x14ac:dyDescent="0.25">
      <c r="A54" s="94" t="s">
        <v>585</v>
      </c>
      <c r="B54" s="58">
        <v>1047</v>
      </c>
      <c r="C54" s="94" t="s">
        <v>453</v>
      </c>
      <c r="D54" s="92">
        <v>1</v>
      </c>
      <c r="E54" s="100">
        <f>IF($D54*$E$4&lt;1.5,1,IF($D54*$E$4&gt;=1.5,2,0))</f>
        <v>1</v>
      </c>
      <c r="F54" s="58">
        <f t="shared" si="3"/>
        <v>1</v>
      </c>
      <c r="G54" s="58">
        <f t="shared" si="4"/>
        <v>1</v>
      </c>
      <c r="H54" s="58">
        <f t="shared" si="5"/>
        <v>1</v>
      </c>
      <c r="I54" s="58">
        <f t="shared" si="6"/>
        <v>1</v>
      </c>
      <c r="J54" s="58">
        <f t="shared" si="7"/>
        <v>1</v>
      </c>
      <c r="K54" s="100">
        <f t="shared" si="16"/>
        <v>1</v>
      </c>
      <c r="L54" s="58">
        <f t="shared" si="16"/>
        <v>1</v>
      </c>
      <c r="M54" s="58">
        <f t="shared" si="16"/>
        <v>1</v>
      </c>
      <c r="N54" s="58">
        <f t="shared" si="16"/>
        <v>1</v>
      </c>
      <c r="O54" s="58"/>
      <c r="P54" s="58"/>
      <c r="Q54" s="58"/>
    </row>
    <row r="55" spans="1:17" ht="43.5" customHeight="1" x14ac:dyDescent="0.25">
      <c r="A55" s="94" t="s">
        <v>585</v>
      </c>
      <c r="B55" s="58">
        <v>104701</v>
      </c>
      <c r="C55" s="94" t="s">
        <v>454</v>
      </c>
      <c r="D55" s="92">
        <v>13.5</v>
      </c>
      <c r="E55" s="100">
        <f>IF($D55*$E$4&lt;6.5,6,IF($D55*$E$4&gt;=6.5,7,IF($D55*$E$4&lt;7.5,7,IF($D55*$E$4&gt;=7.5,8,0))))</f>
        <v>7</v>
      </c>
      <c r="F55" s="58">
        <f t="shared" si="3"/>
        <v>14</v>
      </c>
      <c r="G55" s="58">
        <f t="shared" si="4"/>
        <v>14</v>
      </c>
      <c r="H55" s="58">
        <f t="shared" si="5"/>
        <v>14</v>
      </c>
      <c r="I55" s="58">
        <f t="shared" si="6"/>
        <v>14</v>
      </c>
      <c r="J55" s="58">
        <f t="shared" si="7"/>
        <v>14</v>
      </c>
      <c r="K55" s="100">
        <f t="shared" si="16"/>
        <v>1</v>
      </c>
      <c r="L55" s="58">
        <f t="shared" si="16"/>
        <v>1</v>
      </c>
      <c r="M55" s="58">
        <f t="shared" si="16"/>
        <v>1</v>
      </c>
      <c r="N55" s="58">
        <f t="shared" si="16"/>
        <v>1</v>
      </c>
      <c r="O55" s="58"/>
      <c r="P55" s="58"/>
      <c r="Q55" s="58"/>
    </row>
    <row r="56" spans="1:17" ht="43.5" customHeight="1" x14ac:dyDescent="0.25">
      <c r="A56" s="94" t="s">
        <v>586</v>
      </c>
      <c r="B56" s="58">
        <v>1050</v>
      </c>
      <c r="C56" s="94" t="s">
        <v>455</v>
      </c>
      <c r="D56" s="92">
        <v>1</v>
      </c>
      <c r="E56" s="100">
        <f>IF($D56*$E$4&lt;1.5,1,IF($D56*$E$4&gt;=1.5,2,0))</f>
        <v>1</v>
      </c>
      <c r="F56" s="58">
        <f t="shared" si="3"/>
        <v>1</v>
      </c>
      <c r="G56" s="58">
        <f t="shared" si="4"/>
        <v>1</v>
      </c>
      <c r="H56" s="58">
        <f t="shared" si="5"/>
        <v>1</v>
      </c>
      <c r="I56" s="58">
        <f t="shared" si="6"/>
        <v>1</v>
      </c>
      <c r="J56" s="58">
        <f t="shared" si="7"/>
        <v>1</v>
      </c>
      <c r="K56" s="100">
        <f t="shared" si="16"/>
        <v>1</v>
      </c>
      <c r="L56" s="58">
        <f t="shared" si="16"/>
        <v>1</v>
      </c>
      <c r="M56" s="58">
        <f t="shared" si="16"/>
        <v>1</v>
      </c>
      <c r="N56" s="58">
        <f t="shared" si="16"/>
        <v>1</v>
      </c>
      <c r="O56" s="58"/>
      <c r="P56" s="58"/>
      <c r="Q56" s="58"/>
    </row>
    <row r="57" spans="1:17" ht="43.5" customHeight="1" x14ac:dyDescent="0.25">
      <c r="A57" s="94" t="s">
        <v>586</v>
      </c>
      <c r="B57" s="58">
        <v>10501</v>
      </c>
      <c r="C57" s="94" t="s">
        <v>456</v>
      </c>
      <c r="D57" s="92">
        <v>14.35</v>
      </c>
      <c r="E57" s="100">
        <f>IF($D57*$E$4&lt;7.5,7,IF($D57*$E$4&gt;=7.5,8,0))</f>
        <v>7</v>
      </c>
      <c r="F57" s="58">
        <f t="shared" si="3"/>
        <v>14</v>
      </c>
      <c r="G57" s="58">
        <f t="shared" si="4"/>
        <v>14</v>
      </c>
      <c r="H57" s="58">
        <f t="shared" si="5"/>
        <v>14</v>
      </c>
      <c r="I57" s="58">
        <f t="shared" si="6"/>
        <v>14</v>
      </c>
      <c r="J57" s="58">
        <f t="shared" si="7"/>
        <v>14</v>
      </c>
      <c r="K57" s="100">
        <f t="shared" si="16"/>
        <v>1</v>
      </c>
      <c r="L57" s="58">
        <f t="shared" si="16"/>
        <v>1</v>
      </c>
      <c r="M57" s="58">
        <f t="shared" si="16"/>
        <v>1</v>
      </c>
      <c r="N57" s="58">
        <f t="shared" si="16"/>
        <v>1</v>
      </c>
      <c r="O57" s="58"/>
      <c r="P57" s="58"/>
      <c r="Q57" s="58"/>
    </row>
    <row r="58" spans="1:17" ht="43.5" customHeight="1" x14ac:dyDescent="0.25">
      <c r="A58" s="94" t="s">
        <v>586</v>
      </c>
      <c r="B58" s="58">
        <v>10502</v>
      </c>
      <c r="C58" s="94" t="s">
        <v>457</v>
      </c>
      <c r="D58" s="92">
        <v>0.7</v>
      </c>
      <c r="E58" s="100">
        <f>IF($D58*$E$4&lt;1.5,1,IF($D58*$E$4&gt;=1.5,2,0))</f>
        <v>1</v>
      </c>
      <c r="F58" s="58">
        <f t="shared" si="3"/>
        <v>1</v>
      </c>
      <c r="G58" s="58">
        <f t="shared" si="4"/>
        <v>1</v>
      </c>
      <c r="H58" s="58">
        <f t="shared" si="5"/>
        <v>1</v>
      </c>
      <c r="I58" s="58">
        <f t="shared" si="6"/>
        <v>1</v>
      </c>
      <c r="J58" s="58">
        <f t="shared" si="7"/>
        <v>1</v>
      </c>
      <c r="K58" s="100">
        <f t="shared" si="16"/>
        <v>1</v>
      </c>
      <c r="L58" s="58">
        <f t="shared" si="16"/>
        <v>1</v>
      </c>
      <c r="M58" s="58">
        <f t="shared" si="16"/>
        <v>1</v>
      </c>
      <c r="N58" s="58">
        <f t="shared" si="16"/>
        <v>1</v>
      </c>
      <c r="O58" s="58"/>
      <c r="P58" s="58"/>
      <c r="Q58" s="58"/>
    </row>
    <row r="59" spans="1:17" ht="43.5" customHeight="1" x14ac:dyDescent="0.25">
      <c r="A59" s="94" t="s">
        <v>587</v>
      </c>
      <c r="B59" s="58">
        <v>1058</v>
      </c>
      <c r="C59" s="94" t="s">
        <v>458</v>
      </c>
      <c r="D59" s="92">
        <v>1</v>
      </c>
      <c r="E59" s="100">
        <f>IF($D59*$E$4&lt;1.5,1,IF($D59*$E$4&gt;=1.5,2,0))</f>
        <v>1</v>
      </c>
      <c r="F59" s="58">
        <f t="shared" si="3"/>
        <v>1</v>
      </c>
      <c r="G59" s="58">
        <f t="shared" si="4"/>
        <v>1</v>
      </c>
      <c r="H59" s="58">
        <f t="shared" si="5"/>
        <v>1</v>
      </c>
      <c r="I59" s="58">
        <f t="shared" si="6"/>
        <v>1</v>
      </c>
      <c r="J59" s="58">
        <f t="shared" si="7"/>
        <v>1</v>
      </c>
      <c r="K59" s="100">
        <f t="shared" si="16"/>
        <v>1</v>
      </c>
      <c r="L59" s="58">
        <f t="shared" si="16"/>
        <v>1</v>
      </c>
      <c r="M59" s="58">
        <f t="shared" si="16"/>
        <v>1</v>
      </c>
      <c r="N59" s="58">
        <f t="shared" si="16"/>
        <v>1</v>
      </c>
      <c r="O59" s="58"/>
      <c r="P59" s="58"/>
      <c r="Q59" s="58"/>
    </row>
    <row r="60" spans="1:17" ht="43.5" customHeight="1" x14ac:dyDescent="0.25">
      <c r="A60" s="94" t="s">
        <v>587</v>
      </c>
      <c r="B60" s="58">
        <v>10581</v>
      </c>
      <c r="C60" s="94" t="s">
        <v>459</v>
      </c>
      <c r="D60" s="92">
        <v>20</v>
      </c>
      <c r="E60" s="100">
        <f>IF($D60*$E$4&lt;9.5,9,IF($D60*$E$4&gt;=9.5,10,0))</f>
        <v>10</v>
      </c>
      <c r="F60" s="58">
        <f t="shared" si="3"/>
        <v>20</v>
      </c>
      <c r="G60" s="58">
        <f t="shared" si="4"/>
        <v>20</v>
      </c>
      <c r="H60" s="58">
        <f t="shared" si="5"/>
        <v>20</v>
      </c>
      <c r="I60" s="58">
        <f t="shared" si="6"/>
        <v>20</v>
      </c>
      <c r="J60" s="58">
        <f t="shared" si="7"/>
        <v>20</v>
      </c>
      <c r="K60" s="100">
        <f>IF(AND($D60&gt;=15,$D60&lt;25),2,0)</f>
        <v>2</v>
      </c>
      <c r="L60" s="58">
        <f>IF(AND($D60&gt;=15,$D60&lt;25),2,0)</f>
        <v>2</v>
      </c>
      <c r="M60" s="58">
        <f>IF(AND($D60&gt;=15,$D60&lt;25),2,0)</f>
        <v>2</v>
      </c>
      <c r="N60" s="58">
        <f>IF(AND($D60&gt;=15,$D60&lt;25),2,0)</f>
        <v>2</v>
      </c>
      <c r="O60" s="58"/>
      <c r="P60" s="58"/>
      <c r="Q60" s="58"/>
    </row>
    <row r="61" spans="1:17" ht="43.5" customHeight="1" x14ac:dyDescent="0.25">
      <c r="A61" s="94" t="s">
        <v>587</v>
      </c>
      <c r="B61" s="58">
        <v>10582</v>
      </c>
      <c r="C61" s="94" t="s">
        <v>460</v>
      </c>
      <c r="D61" s="92">
        <v>0</v>
      </c>
      <c r="E61" s="100">
        <f>IF($D61*$E$4&lt;1.5,1,IF($D61*$E$4&gt;=1.5,2,0))</f>
        <v>1</v>
      </c>
      <c r="F61" s="58">
        <f t="shared" si="3"/>
        <v>1</v>
      </c>
      <c r="G61" s="58">
        <f t="shared" si="4"/>
        <v>1</v>
      </c>
      <c r="H61" s="58">
        <f t="shared" si="5"/>
        <v>1</v>
      </c>
      <c r="I61" s="58">
        <f t="shared" si="6"/>
        <v>1</v>
      </c>
      <c r="J61" s="58">
        <f t="shared" si="7"/>
        <v>1</v>
      </c>
      <c r="K61" s="100">
        <f>IF(AND($D61&gt;=0,$D61&lt;15),1,0)</f>
        <v>1</v>
      </c>
      <c r="L61" s="58">
        <f>IF(AND($D61&gt;=0,$D61&lt;15),1,0)</f>
        <v>1</v>
      </c>
      <c r="M61" s="58">
        <f>IF(AND($D61&gt;=0,$D61&lt;15),1,0)</f>
        <v>1</v>
      </c>
      <c r="N61" s="58">
        <f>IF(AND($D61&gt;=0,$D61&lt;15),1,0)</f>
        <v>1</v>
      </c>
      <c r="O61" s="58"/>
      <c r="P61" s="58"/>
      <c r="Q61" s="58"/>
    </row>
    <row r="62" spans="1:17" ht="43.5" customHeight="1" x14ac:dyDescent="0.25">
      <c r="A62" s="94" t="s">
        <v>587</v>
      </c>
      <c r="B62" s="58">
        <v>1058201</v>
      </c>
      <c r="C62" s="94" t="s">
        <v>461</v>
      </c>
      <c r="D62" s="92">
        <v>30</v>
      </c>
      <c r="E62" s="100">
        <f>IF($D62*$E$4&lt;14.5,14,IF($D62*$E$4&gt;=14.5,15,0))</f>
        <v>15</v>
      </c>
      <c r="F62" s="58">
        <f t="shared" si="3"/>
        <v>30</v>
      </c>
      <c r="G62" s="58">
        <f t="shared" si="4"/>
        <v>30</v>
      </c>
      <c r="H62" s="58">
        <f t="shared" si="5"/>
        <v>30</v>
      </c>
      <c r="I62" s="58">
        <f t="shared" si="6"/>
        <v>30</v>
      </c>
      <c r="J62" s="58">
        <f t="shared" si="7"/>
        <v>30</v>
      </c>
      <c r="K62" s="100">
        <f t="shared" ref="K62:N63" si="17">IF(AND($D62&gt;=25,$D62&lt;35),3,0)</f>
        <v>3</v>
      </c>
      <c r="L62" s="58">
        <f t="shared" si="17"/>
        <v>3</v>
      </c>
      <c r="M62" s="58">
        <f t="shared" si="17"/>
        <v>3</v>
      </c>
      <c r="N62" s="58">
        <f t="shared" si="17"/>
        <v>3</v>
      </c>
      <c r="O62" s="58"/>
      <c r="P62" s="58"/>
      <c r="Q62" s="58"/>
    </row>
    <row r="63" spans="1:17" ht="43.5" customHeight="1" x14ac:dyDescent="0.25">
      <c r="A63" s="94" t="s">
        <v>587</v>
      </c>
      <c r="B63" s="58">
        <v>1058202</v>
      </c>
      <c r="C63" s="94" t="s">
        <v>462</v>
      </c>
      <c r="D63" s="92">
        <v>30.5</v>
      </c>
      <c r="E63" s="100">
        <f>IF($D63*$E$4&lt;14.5,14,IF($D63*$E$4&gt;=14.5,15,0))</f>
        <v>15</v>
      </c>
      <c r="F63" s="58">
        <f t="shared" si="3"/>
        <v>31</v>
      </c>
      <c r="G63" s="58">
        <f t="shared" si="4"/>
        <v>31</v>
      </c>
      <c r="H63" s="58">
        <f>IF(AND($D63*$H$4&gt;=0,$D63&lt;1.5),1,IF(AND($D63*$H$4&gt;=1.5,$D63&lt;2.5),2,IF(AND($D63*$H$4&gt;=2.5,$D63&lt;3.5),3,IF(AND($D63*$H$4&gt;=3.5,$D63&lt;4.5),4,IF(AND($D63*$H$4&gt;=4.5,$D63&lt;5.5),5,IF(AND($D63*$H$4&gt;=5.5,$D63&lt;6.5),6,IF(AND($D63*$H$4&gt;=6.5,$D63&lt;7.5),7,IF(AND($D63*$H$4&gt;=7.5,$D63&lt;8.5),8,IF(AND($D63*$H$4&gt;=8.5,$D63&lt;9.5),9,IF(AND($D63*$H$4&gt;=9.5,$D63&lt;10.5),10,IF(AND($D63*$H$4&gt;=10.5,$D63&lt;11.5),11,IF(AND($D63*$H$4&gt;=11.5,$D63&lt;12.5),12,IF(AND($D63*$H$4&gt;=12.5,$D63&lt;13.5),13,IF(AND($D63*$H$4&gt;=13.5,$D63&lt;14.5),14,IF(AND($D63*$H$4&gt;=14.5,$D63&lt;15.5),15,IF(AND($D63*$H$4&gt;=15.5,$D63&lt;16.5),16,IF(AND($D63*$H$4&gt;=16.5,$D63&lt;17.5),17,IF(AND($D63*$H$4&gt;=17.5,$D63&lt;18.5),18,IF(AND($D63*$H$4&gt;=18.5,$D63&lt;19.5),19,IF(AND($D63*$H$4&gt;=19.5,$D63&lt;20.5),20,IF(AND($D63*$H$4&gt;=20.5,$D63&lt;21.5),21,IF(AND($D63*$H$4&gt;=21.5,$D63&lt;22.5),22,IF(AND($D63*$H$4&gt;=22.5,$D63&lt;23.5),23,IF(AND($D63*$H$4&gt;=23.5,$D63&lt;24.5),24,IF(AND($D63*$H$4&gt;=24.5,$D63&lt;25.5),25,IF(AND($D63*$H$4&gt;=25.5,$D63&lt;26.5),26,IF(AND($D63*$H$4&gt;=26.5,$D63&lt;27.5),27,IF(AND($D63*$H$4&gt;=27.5,$D63&lt;28.5),28,IF(AND($D63*$H$4&gt;=28.5,$D63&lt;29.5),29,IF(AND($D63*$H$4&gt;=29.5,$D63&lt;30.5),30,IF(AND($D63*$H$4&gt;=30.5,$D63&lt;31.5),31,IF(AND($D63*$H$4&gt;=31.5,$D63&lt;32.5),32,IF(AND($D63*$H$4&gt;=32.5,$D63&lt;33.5),33,IF(AND($D63*$H$4&gt;=33.5,$D63&lt;34.5),34,IF(AND($D63*$H$4&gt;=34.5,$D63&lt;35.5),35,IF(AND($D63*$H$4&gt;=35.5,$D63&lt;36.5),36,IF(AND($D63*$H$4&gt;=36.5,$D63&lt;37.5),37,IF(AND($D63*$H$4&gt;=37.5,$D63&lt;38.5),38,IF(AND($D63*$H$4&gt;=38.5,$D63&lt;39.5),39,IF(AND($D63*$H$4&gt;=39.5,$D63&lt;40.5),40,IF(AND($D63*$H$4&gt;=40.5,$D63&lt;41.5),41,IF(AND($D63*$H$4&gt;=41.5,$D63&lt;42.5),42,IF(AND($D63*$H$4&gt;=42.5,$D63&lt;43.5),43,IF(AND($D63*$H$4&gt;=43.5,$D63&lt;44.5),44,IF(AND($D63*$H$4&gt;=44.5,$D63&lt;45.5),45,IF(AND($D63*$H$4&gt;=45.5,$D63&lt;46.5),46,IF(AND($D63*$H$4&gt;=46.5,$D63&lt;47.5),47,IF(AND($D63*$H$4&gt;=47.5,$D63&lt;48.5),48,IF(AND($D63*$H$4&gt;=48.5,$D63&lt;49.5),49,IF(AND($D63*$H$4&gt;=49.5,$D63&lt;50.5),50,IF(AND($D63*$H$4&gt;=50.5,$D63&lt;51.5),51,IF(AND($D63*$H$4&gt;=51.5,$D63&lt;52.5),52,IF(AND($D63*$H$4&gt;=52.5,$D63&lt;53.5),53,IF(AND($D63*$H$4&gt;=53.5,$D63&lt;54.5),54,IF(AND($D63*$H$4&gt;=54.5,$D63&lt;55.5),55,IF(AND($D63*$H$4&gt;=55.5,$D63&lt;56.5),56,IF(AND($D63*$H$4&gt;=64.5,$D63&lt;65.5),65,IF(AND($D63*$H$4&gt;=65.5,$D63&lt;66.5),66,IF(AND($D63*$H$4&gt;=86.5,$D63&lt;87.5),87,IF(AND($D63*$H$4&gt;=87.5,$D63&lt;88.5),88,IF(AND($D63*$H$4&gt;=121.5,$D63&lt;122.5),122,IF(AND($D63*$H$4&gt;=122.5,$D63&lt;123.5),123,0))))))))))))))))))))))))))))))))))))))))))))))))))))))))))))))</f>
        <v>31</v>
      </c>
      <c r="I63" s="58">
        <f t="shared" si="6"/>
        <v>31</v>
      </c>
      <c r="J63" s="58">
        <f t="shared" si="7"/>
        <v>31</v>
      </c>
      <c r="K63" s="100">
        <f>IF(AND($D63&gt;=25,$D63&lt;35),3,0)</f>
        <v>3</v>
      </c>
      <c r="L63" s="58">
        <f t="shared" si="17"/>
        <v>3</v>
      </c>
      <c r="M63" s="58">
        <f t="shared" si="17"/>
        <v>3</v>
      </c>
      <c r="N63" s="58">
        <f t="shared" si="17"/>
        <v>3</v>
      </c>
      <c r="O63" s="58"/>
      <c r="P63" s="58"/>
      <c r="Q63" s="58"/>
    </row>
    <row r="64" spans="1:17" ht="43.5" customHeight="1" x14ac:dyDescent="0.25">
      <c r="A64" s="94" t="s">
        <v>587</v>
      </c>
      <c r="B64" s="58">
        <v>1058203</v>
      </c>
      <c r="C64" s="94" t="s">
        <v>463</v>
      </c>
      <c r="D64" s="92">
        <v>22.5</v>
      </c>
      <c r="E64" s="100">
        <f>IF($D64*$E$4&lt;11.5,11,IF($D64*$E$4&gt;=11.5,12,0))</f>
        <v>11</v>
      </c>
      <c r="F64" s="58">
        <f t="shared" si="3"/>
        <v>23</v>
      </c>
      <c r="G64" s="58">
        <f t="shared" si="4"/>
        <v>23</v>
      </c>
      <c r="H64" s="58">
        <f t="shared" si="5"/>
        <v>23</v>
      </c>
      <c r="I64" s="58">
        <f t="shared" si="6"/>
        <v>23</v>
      </c>
      <c r="J64" s="58">
        <f t="shared" si="7"/>
        <v>23</v>
      </c>
      <c r="K64" s="100">
        <f>IF(AND($D64&gt;=15,$D64&lt;25),2,0)</f>
        <v>2</v>
      </c>
      <c r="L64" s="58">
        <f>IF(AND($D64&gt;=15,$D64&lt;25),2,0)</f>
        <v>2</v>
      </c>
      <c r="M64" s="58">
        <f>IF(AND($D64&gt;=15,$D64&lt;25),2,0)</f>
        <v>2</v>
      </c>
      <c r="N64" s="58">
        <f>IF(AND($D64&gt;=15,$D64&lt;25),2,0)</f>
        <v>2</v>
      </c>
      <c r="O64" s="58"/>
      <c r="P64" s="58"/>
      <c r="Q64" s="58"/>
    </row>
    <row r="65" spans="1:17" ht="43.5" customHeight="1" x14ac:dyDescent="0.25">
      <c r="A65" s="94" t="s">
        <v>587</v>
      </c>
      <c r="B65" s="58">
        <v>1058204</v>
      </c>
      <c r="C65" s="94" t="s">
        <v>464</v>
      </c>
      <c r="D65" s="92">
        <v>5</v>
      </c>
      <c r="E65" s="100">
        <f>IF($D65*$E$4&lt;2.5,2,IF($D65*$E$4&gt;=2.5,3,0))</f>
        <v>3</v>
      </c>
      <c r="F65" s="58">
        <f t="shared" si="3"/>
        <v>5</v>
      </c>
      <c r="G65" s="58">
        <f t="shared" si="4"/>
        <v>5</v>
      </c>
      <c r="H65" s="58">
        <f t="shared" si="5"/>
        <v>5</v>
      </c>
      <c r="I65" s="58">
        <f t="shared" si="6"/>
        <v>5</v>
      </c>
      <c r="J65" s="58">
        <f t="shared" si="7"/>
        <v>5</v>
      </c>
      <c r="K65" s="100">
        <f t="shared" ref="K65:N67" si="18">IF(AND($D65&gt;=0,$D65&lt;15),1,0)</f>
        <v>1</v>
      </c>
      <c r="L65" s="58">
        <f t="shared" si="18"/>
        <v>1</v>
      </c>
      <c r="M65" s="58">
        <f t="shared" si="18"/>
        <v>1</v>
      </c>
      <c r="N65" s="58">
        <f t="shared" si="18"/>
        <v>1</v>
      </c>
      <c r="O65" s="58"/>
      <c r="P65" s="58"/>
      <c r="Q65" s="58"/>
    </row>
    <row r="66" spans="1:17" ht="43.5" customHeight="1" x14ac:dyDescent="0.25">
      <c r="A66" s="94" t="s">
        <v>587</v>
      </c>
      <c r="B66" s="58">
        <v>1058205</v>
      </c>
      <c r="C66" s="94" t="s">
        <v>465</v>
      </c>
      <c r="D66" s="92">
        <v>5</v>
      </c>
      <c r="E66" s="100">
        <f>IF($D66*$E$4&lt;2.5,2,IF($D66*$E$4&gt;=2.5,3,0))</f>
        <v>3</v>
      </c>
      <c r="F66" s="58">
        <f t="shared" si="3"/>
        <v>5</v>
      </c>
      <c r="G66" s="58">
        <f t="shared" si="4"/>
        <v>5</v>
      </c>
      <c r="H66" s="58">
        <f t="shared" si="5"/>
        <v>5</v>
      </c>
      <c r="I66" s="58">
        <f t="shared" si="6"/>
        <v>5</v>
      </c>
      <c r="J66" s="58">
        <f t="shared" si="7"/>
        <v>5</v>
      </c>
      <c r="K66" s="100">
        <f t="shared" si="18"/>
        <v>1</v>
      </c>
      <c r="L66" s="58">
        <f t="shared" si="18"/>
        <v>1</v>
      </c>
      <c r="M66" s="58">
        <f t="shared" si="18"/>
        <v>1</v>
      </c>
      <c r="N66" s="58">
        <f t="shared" si="18"/>
        <v>1</v>
      </c>
      <c r="O66" s="58"/>
      <c r="P66" s="58"/>
      <c r="Q66" s="58"/>
    </row>
    <row r="67" spans="1:17" ht="43.5" customHeight="1" x14ac:dyDescent="0.25">
      <c r="A67" s="94" t="s">
        <v>588</v>
      </c>
      <c r="B67" s="58">
        <v>1059</v>
      </c>
      <c r="C67" s="94" t="s">
        <v>466</v>
      </c>
      <c r="D67" s="92">
        <v>2</v>
      </c>
      <c r="E67" s="100">
        <f>IF($D67*$E$4&lt;1.5,1,IF($D67*$E$4&gt;=1.5,2,0))</f>
        <v>1</v>
      </c>
      <c r="F67" s="58">
        <f t="shared" si="3"/>
        <v>2</v>
      </c>
      <c r="G67" s="58">
        <f t="shared" si="4"/>
        <v>2</v>
      </c>
      <c r="H67" s="58">
        <f t="shared" si="5"/>
        <v>2</v>
      </c>
      <c r="I67" s="58">
        <f t="shared" si="6"/>
        <v>2</v>
      </c>
      <c r="J67" s="58">
        <f t="shared" si="7"/>
        <v>2</v>
      </c>
      <c r="K67" s="100">
        <f t="shared" si="18"/>
        <v>1</v>
      </c>
      <c r="L67" s="58">
        <f t="shared" si="18"/>
        <v>1</v>
      </c>
      <c r="M67" s="58">
        <f t="shared" si="18"/>
        <v>1</v>
      </c>
      <c r="N67" s="58">
        <f t="shared" si="18"/>
        <v>1</v>
      </c>
      <c r="O67" s="58"/>
      <c r="P67" s="58"/>
      <c r="Q67" s="58"/>
    </row>
    <row r="68" spans="1:17" ht="43.5" customHeight="1" x14ac:dyDescent="0.25">
      <c r="A68" s="94" t="s">
        <v>588</v>
      </c>
      <c r="B68" s="58">
        <v>105901</v>
      </c>
      <c r="C68" s="94" t="s">
        <v>467</v>
      </c>
      <c r="D68" s="92">
        <v>31.9</v>
      </c>
      <c r="E68" s="100">
        <f>IF($D68*$E$4&lt;15.5,15,IF($D68*$E$4&gt;=15.5,16,0))</f>
        <v>16</v>
      </c>
      <c r="F68" s="58">
        <f t="shared" si="3"/>
        <v>32</v>
      </c>
      <c r="G68" s="58">
        <f t="shared" si="4"/>
        <v>32</v>
      </c>
      <c r="H68" s="58">
        <f t="shared" si="5"/>
        <v>32</v>
      </c>
      <c r="I68" s="58">
        <f t="shared" si="6"/>
        <v>32</v>
      </c>
      <c r="J68" s="58">
        <f t="shared" si="7"/>
        <v>32</v>
      </c>
      <c r="K68" s="100">
        <f>IF(AND($D68&gt;=25,$D68&lt;35),3,0)</f>
        <v>3</v>
      </c>
      <c r="L68" s="58">
        <f>IF(AND($D68&gt;=25,$D68&lt;35),3,0)</f>
        <v>3</v>
      </c>
      <c r="M68" s="58">
        <f>IF(AND($D68&gt;=25,$D68&lt;35),3,0)</f>
        <v>3</v>
      </c>
      <c r="N68" s="58">
        <f>IF(AND($D68&gt;=25,$D68&lt;35),3,0)</f>
        <v>3</v>
      </c>
      <c r="O68" s="58"/>
      <c r="P68" s="58"/>
      <c r="Q68" s="58"/>
    </row>
    <row r="69" spans="1:17" ht="43.5" customHeight="1" x14ac:dyDescent="0.25">
      <c r="A69" s="94" t="s">
        <v>588</v>
      </c>
      <c r="B69" s="58">
        <v>105902</v>
      </c>
      <c r="C69" s="94" t="s">
        <v>332</v>
      </c>
      <c r="D69" s="92">
        <v>0.75</v>
      </c>
      <c r="E69" s="100">
        <f>IF($D69*$E$4&lt;1.5,1,IF($D69*$E$4&gt;=1.5,2,0))</f>
        <v>1</v>
      </c>
      <c r="F69" s="58">
        <f t="shared" si="3"/>
        <v>1</v>
      </c>
      <c r="G69" s="58">
        <f t="shared" si="4"/>
        <v>1</v>
      </c>
      <c r="H69" s="58">
        <f t="shared" si="5"/>
        <v>1</v>
      </c>
      <c r="I69" s="58">
        <f t="shared" si="6"/>
        <v>1</v>
      </c>
      <c r="J69" s="58">
        <f t="shared" si="7"/>
        <v>1</v>
      </c>
      <c r="K69" s="100">
        <f t="shared" ref="K69:N71" si="19">IF(AND($D69&gt;=0,$D69&lt;15),1,0)</f>
        <v>1</v>
      </c>
      <c r="L69" s="58">
        <f t="shared" si="19"/>
        <v>1</v>
      </c>
      <c r="M69" s="58">
        <f t="shared" si="19"/>
        <v>1</v>
      </c>
      <c r="N69" s="58">
        <f t="shared" si="19"/>
        <v>1</v>
      </c>
      <c r="O69" s="58"/>
      <c r="P69" s="58"/>
      <c r="Q69" s="58"/>
    </row>
    <row r="70" spans="1:17" ht="43.5" customHeight="1" x14ac:dyDescent="0.25">
      <c r="A70" s="94" t="s">
        <v>588</v>
      </c>
      <c r="B70" s="58">
        <v>105909</v>
      </c>
      <c r="C70" s="94" t="s">
        <v>468</v>
      </c>
      <c r="D70" s="92">
        <v>1</v>
      </c>
      <c r="E70" s="100">
        <f>IF($D70*$E$4&lt;1.5,1,IF($D70*$E$4&gt;=1.5,2,0))</f>
        <v>1</v>
      </c>
      <c r="F70" s="58">
        <f t="shared" si="3"/>
        <v>1</v>
      </c>
      <c r="G70" s="58">
        <f t="shared" si="4"/>
        <v>1</v>
      </c>
      <c r="H70" s="58">
        <f t="shared" si="5"/>
        <v>1</v>
      </c>
      <c r="I70" s="58">
        <f t="shared" si="6"/>
        <v>1</v>
      </c>
      <c r="J70" s="58">
        <f t="shared" si="7"/>
        <v>1</v>
      </c>
      <c r="K70" s="100">
        <f t="shared" si="19"/>
        <v>1</v>
      </c>
      <c r="L70" s="58">
        <f t="shared" si="19"/>
        <v>1</v>
      </c>
      <c r="M70" s="58">
        <f t="shared" si="19"/>
        <v>1</v>
      </c>
      <c r="N70" s="58">
        <f t="shared" si="19"/>
        <v>1</v>
      </c>
      <c r="O70" s="58"/>
      <c r="P70" s="58"/>
      <c r="Q70" s="58"/>
    </row>
    <row r="71" spans="1:17" ht="43.5" customHeight="1" x14ac:dyDescent="0.25">
      <c r="A71" s="94" t="s">
        <v>589</v>
      </c>
      <c r="B71" s="58">
        <v>1060</v>
      </c>
      <c r="C71" s="94" t="s">
        <v>469</v>
      </c>
      <c r="D71" s="92">
        <v>1</v>
      </c>
      <c r="E71" s="100">
        <f>IF($D71*$E$4&lt;1.5,1,IF($D71*$E$4&gt;=1.5,2,0))</f>
        <v>1</v>
      </c>
      <c r="F71" s="58">
        <f t="shared" si="3"/>
        <v>1</v>
      </c>
      <c r="G71" s="58">
        <f t="shared" si="4"/>
        <v>1</v>
      </c>
      <c r="H71" s="58">
        <f t="shared" si="5"/>
        <v>1</v>
      </c>
      <c r="I71" s="58">
        <f t="shared" si="6"/>
        <v>1</v>
      </c>
      <c r="J71" s="58">
        <f t="shared" si="7"/>
        <v>1</v>
      </c>
      <c r="K71" s="100">
        <f t="shared" si="19"/>
        <v>1</v>
      </c>
      <c r="L71" s="58">
        <f t="shared" si="19"/>
        <v>1</v>
      </c>
      <c r="M71" s="58">
        <f t="shared" si="19"/>
        <v>1</v>
      </c>
      <c r="N71" s="58">
        <f t="shared" si="19"/>
        <v>1</v>
      </c>
      <c r="O71" s="58"/>
      <c r="P71" s="58"/>
      <c r="Q71" s="58"/>
    </row>
    <row r="72" spans="1:17" ht="43.5" customHeight="1" x14ac:dyDescent="0.25">
      <c r="A72" s="94" t="s">
        <v>589</v>
      </c>
      <c r="B72" s="58">
        <v>10601</v>
      </c>
      <c r="C72" s="94" t="s">
        <v>470</v>
      </c>
      <c r="D72" s="92">
        <v>65.05</v>
      </c>
      <c r="E72" s="100">
        <f>IF($D72*$E$4&lt;32.5,32,IF($D72*$E$4&gt;=32.5,33,0))</f>
        <v>33</v>
      </c>
      <c r="F72" s="58">
        <f t="shared" ref="F72:F135" si="20">IF(AND($D72*$F$4&gt;=0,$D72&lt;1.5),1,IF(AND($D72*$F$4&gt;=1.5,$D72&lt;2.5),2,IF(AND($D72*$F$4&gt;=2.5,$D72&lt;3.5),3,IF(AND($D72*$F$4&gt;=3.5,$D72&lt;4.5),4,IF(AND($D72*$F$4&gt;=4.5,$D72&lt;5.5),5,IF(AND($D72*$F$4&gt;=5.5,$D72&lt;6.5),6,IF(AND($D72*$F$4&gt;=6.5,$D72&lt;7.5),7,IF(AND($D72*$F$4&gt;=7.5,$D72&lt;8.5),8,IF(AND($D72*$F$4&gt;=8.5,$D72&lt;9.5),9,IF(AND($D72*$F$4&gt;=9.5,$D72&lt;10.5),10,IF(AND($D72*$F$4&gt;=10.5,$D72&lt;11.5),11,IF(AND($D72*$F$4&gt;=11.5,$D72&lt;12.5),12,IF(AND($D72*$F$4&gt;=12.5,$D72&lt;13.5),13,IF(AND($D72*$F$4&gt;=13.5,$D72&lt;14.5),14,IF(AND($D72*$F$4&gt;=14.5,$D72&lt;15.5),15,IF(AND($D72*$F$4&gt;=15.5,$D72&lt;16.5),16,IF(AND($D72*$F$4&gt;=16.5,$D72&lt;17.5),17,IF(AND($D72*$F$4&gt;=17.5,$D72&lt;18.5),18,IF(AND($D72*$F$4&gt;=18.5,$D72&lt;19.5),19,IF(AND($D72*$F$4&gt;=19.5,$D72&lt;20.5),20,IF(AND($D72*$F$4&gt;=20.5,$D72&lt;21.5),21,IF(AND($D72*$F$4&gt;=21.5,$D72&lt;22.5),22,IF(AND($D72*$F$4&gt;=22.5,$D72&lt;23.5),23,IF(AND($D72*$F$4&gt;=23.5,$D72&lt;24.5),24,IF(AND($D72*$F$4&gt;=24.5,$D72&lt;25.5),25,IF(AND($D72*$F$4&gt;=25.5,$D72&lt;26.5),26,IF(AND($D72*$F$4&gt;=26.5,$D72&lt;27.5),27,IF(AND($D72*$F$4&gt;=27.5,$D72&lt;28.5),28,IF(AND($D72*$F$4&gt;=28.5,$D72&lt;29.5),29,IF(AND($D72*$F$4&gt;=29.5,$D72&lt;30.5),30,IF(AND($D72*$F$4&gt;=30.5,$D72&lt;31.5),31,IF(AND($D72*$F$4&gt;=31.5,$D72&lt;32.5),32,IF(AND($D72*$F$4&gt;=32.5,$D72&lt;33.5),33,IF(AND($D72*$F$4&gt;=33.5,$D72&lt;34.5),34,IF(AND($D72*$F$4&gt;=34.5,$D72&lt;35.5),35,IF(AND($D72*$F$4&gt;=35.5,$D72&lt;36.5),36,IF(AND($D72*$F$4&gt;=36.5,$D72&lt;37.5),37,IF(AND($D72*$F$4&gt;=37.5,$D72&lt;38.5),38,IF(AND($D72*$F$4&gt;=38.5,$D72&lt;39.5),39,IF(AND($D72*$F$4&gt;=39.5,$D72&lt;40.5),40,IF(AND($D72*$F$4&gt;=40.5,$D72&lt;41.5),41,IF(AND($D72*$F$4&gt;=41.5,$D72&lt;42.5),42,IF(AND($D72*$F$4&gt;=42.5,$D72&lt;43.5),43,IF(AND($D72*$F$4&gt;=43.5,$D72&lt;44.5),44,IF(AND($D72*$F$4&gt;=44.5,$D72&lt;45.5),45,IF(AND($D72*$F$4&gt;=45.5,$D72&lt;46.5),46,IF(AND($D72*$F$4&gt;=46.5,$D72&lt;47.5),47,IF(AND($D72*$F$4&gt;=47.5,$D72&lt;48.5),48,IF(AND($D72*$F$4&gt;=48.5,$D72&lt;49.5),49,IF(AND($D72*$F$4&gt;=49.5,$D72&lt;50.5),50,IF(AND($D72*$F$4&gt;=50.5,$D72&lt;51.5),51,IF(AND($D72*$F$4&gt;=51.5,$D72&lt;52.5),52,IF(AND($D72*$F$4&gt;=52.5,$D72&lt;53.5),53,IF(AND($D72*$F$4&gt;=53.5,$D72&lt;54.5),54,IF(AND($D72*$F$4&gt;=54.5,$D72&lt;55.5),55,IF(AND($D72*$F$4&gt;=55.5,$D72&lt;56.5),56,IF(AND($D72*$F$4&gt;=64.5,$D72&lt;65.5),65,IF(AND($D72*$F$4&gt;=65.5,$D72&lt;66.5),66,IF(AND($D72*$F$4&gt;=86.5,$D72&lt;87.5),87,IF(AND($D72*$F$4&gt;=87.5,$D72&lt;88.5),88,IF(AND($D72*$F$4&gt;=121.5,$D72&lt;122.5),122,IF(AND($D72*$F$4&gt;=122.5,$D72&lt;123.5),123,0))))))))))))))))))))))))))))))))))))))))))))))))))))))))))))))</f>
        <v>65</v>
      </c>
      <c r="G72" s="58">
        <f t="shared" ref="G72:G135" si="21">IF(AND($D72*$G$4&gt;=0,$D72&lt;1.5),1,IF(AND($D72*$G$4&gt;=1.5,$D72&lt;2.5),2,IF(AND($D72*$G$4&gt;=2.5,$D72&lt;3.5),3,IF(AND($D72*$G$4&gt;=3.5,$D72&lt;4.5),4,IF(AND($D72*$G$4&gt;=4.5,$D72&lt;5.5),5,IF(AND($D72*$G$4&gt;=5.5,$D72&lt;6.5),6,IF(AND($D72*$G$4&gt;=6.5,$D72&lt;7.5),7,IF(AND($D72*$G$4&gt;=7.5,$D72&lt;8.5),8,IF(AND($D72*$G$4&gt;=8.5,$D72&lt;9.5),9,IF(AND($D72*$G$4&gt;=9.5,$D72&lt;10.5),10,IF(AND($D72*$G$4&gt;=10.5,$D72&lt;11.5),11,IF(AND($D72*$G$4&gt;=11.5,$D72&lt;12.5),12,IF(AND($D72*$G$4&gt;=12.5,$D72&lt;13.5),13,IF(AND($D72*$G$4&gt;=13.5,$D72&lt;14.5),14,IF(AND($D72*$G$4&gt;=14.5,$D72&lt;15.5),15,IF(AND($D72*$G$4&gt;=15.5,$D72&lt;16.5),16,IF(AND($D72*$G$4&gt;=16.5,$D72&lt;17.5),17,IF(AND($D72*$G$4&gt;=17.5,$D72&lt;18.5),18,IF(AND($D72*$G$4&gt;=18.5,$D72&lt;19.5),19,IF(AND($D72*$G$4&gt;=19.5,$D72&lt;20.5),20,IF(AND($D72*$G$4&gt;=20.5,$D72&lt;21.5),21,IF(AND($D72*$G$4&gt;=21.5,$D72&lt;22.5),22,IF(AND($D72*$G$4&gt;=22.5,$D72&lt;23.5),23,IF(AND($D72*$G$4&gt;=23.5,$D72&lt;24.5),24,IF(AND($D72*$G$4&gt;=24.5,$D72&lt;25.5),25,IF(AND($D72*$G$4&gt;=25.5,$D72&lt;26.5),26,IF(AND($D72*$G$4&gt;=26.5,$D72&lt;27.5),27,IF(AND($D72*$G$4&gt;=27.5,$D72&lt;28.5),28,IF(AND($D72*$G$4&gt;=28.5,$D72&lt;29.5),29,IF(AND($D72*$G$4&gt;=29.5,$D72&lt;30.5),30,IF(AND($D72*$G$4&gt;=30.5,$D72&lt;31.5),31,IF(AND($D72*$G$4&gt;=31.5,$D72&lt;32.5),32,IF(AND($D72*$G$4&gt;=32.5,$D72&lt;33.5),33,IF(AND($D72*$G$4&gt;=33.5,$D72&lt;34.5),34,IF(AND($D72*$G$4&gt;=34.5,$D72&lt;35.5),35,IF(AND($D72*$G$4&gt;=35.5,$D72&lt;36.5),36,IF(AND($D72*$G$4&gt;=36.5,$D72&lt;37.5),37,IF(AND($D72*$G$4&gt;=37.5,$D72&lt;38.5),38,IF(AND($D72*$G$4&gt;=38.5,$D72&lt;39.5),39,IF(AND($D72*$G$4&gt;=39.5,$D72&lt;40.5),40,IF(AND($D72*$G$4&gt;=40.5,$D72&lt;41.5),41,IF(AND($D72*$G$4&gt;=41.5,$D72&lt;42.5),42,IF(AND($D72*$G$4&gt;=42.5,$D72&lt;43.5),43,IF(AND($D72*$G$4&gt;=43.5,$D72&lt;44.5),44,IF(AND($D72*$G$4&gt;=44.5,$D72&lt;45.5),45,IF(AND($D72*$G$4&gt;=45.5,$D72&lt;46.5),46,IF(AND($D72*$G$4&gt;=46.5,$D72&lt;47.5),47,IF(AND($D72*$G$4&gt;=47.5,$D72&lt;48.5),48,IF(AND($D72*$G$4&gt;=48.5,$D72&lt;49.5),49,IF(AND($D72*$G$4&gt;=49.5,$D72&lt;50.5),50,IF(AND($D72*$G$4&gt;=50.5,$D72&lt;51.5),51,IF(AND($D72*$G$4&gt;=51.5,$D72&lt;52.5),52,IF(AND($D72*$G$4&gt;=52.5,$D72&lt;53.5),53,IF(AND($D72*$G$4&gt;=53.5,$D72&lt;54.5),54,IF(AND($D72*$G$4&gt;=54.5,$D72&lt;55.5),55,IF(AND($D72*$G$4&gt;=55.5,$D72&lt;56.5),56,IF(AND($D72*$G$4&gt;=64.5,$D72&lt;65.5),65,IF(AND($D72*$G$4&gt;=65.5,$D72&lt;66.5),66,IF(AND($D72*$G$4&gt;=86.5,$D72&lt;87.5),87,IF(AND($D72*$G$4&gt;=87.5,$D72&lt;88.5),88,IF(AND($D72*$G$4&gt;=121.5,$D72&lt;122.5),122,IF(AND($D72*$G$4&gt;=122.5,$D72&lt;123.5),123,0))))))))))))))))))))))))))))))))))))))))))))))))))))))))))))))</f>
        <v>65</v>
      </c>
      <c r="H72" s="58">
        <f t="shared" ref="H72:H135" si="22">IF(AND($D72*$H$4&gt;=0,$D72&lt;1.5),1,IF(AND($D72*$H$4&gt;=1.5,$D72&lt;2.5),2,IF(AND($D72*$H$4&gt;=2.5,$D72&lt;3.5),3,IF(AND($D72*$H$4&gt;=3.5,$D72&lt;4.5),4,IF(AND($D72*$H$4&gt;=4.5,$D72&lt;5.5),5,IF(AND($D72*$H$4&gt;=5.5,$D72&lt;6.5),6,IF(AND($D72*$H$4&gt;=6.5,$D72&lt;7.5),7,IF(AND($D72*$H$4&gt;=7.5,$D72&lt;8.5),8,IF(AND($D72*$H$4&gt;=8.5,$D72&lt;9.5),9,IF(AND($D72*$H$4&gt;=9.5,$D72&lt;10.5),10,IF(AND($D72*$H$4&gt;=10.5,$D72&lt;11.5),11,IF(AND($D72*$H$4&gt;=11.5,$D72&lt;12.5),12,IF(AND($D72*$H$4&gt;=12.5,$D72&lt;13.5),13,IF(AND($D72*$H$4&gt;=13.5,$D72&lt;14.5),14,IF(AND($D72*$H$4&gt;=14.5,$D72&lt;15.5),15,IF(AND($D72*$H$4&gt;=15.5,$D72&lt;16.5),16,IF(AND($D72*$H$4&gt;=16.5,$D72&lt;17.5),17,IF(AND($D72*$H$4&gt;=17.5,$D72&lt;18.5),18,IF(AND($D72*$H$4&gt;=18.5,$D72&lt;19.5),19,IF(AND($D72*$H$4&gt;=19.5,$D72&lt;20.5),20,IF(AND($D72*$H$4&gt;=20.5,$D72&lt;21.5),21,IF(AND($D72*$H$4&gt;=21.5,$D72&lt;22.5),22,IF(AND($D72*$H$4&gt;=22.5,$D72&lt;23.5),23,IF(AND($D72*$H$4&gt;=23.5,$D72&lt;24.5),24,IF(AND($D72*$H$4&gt;=24.5,$D72&lt;25.5),25,IF(AND($D72*$H$4&gt;=25.5,$D72&lt;26.5),26,IF(AND($D72*$H$4&gt;=26.5,$D72&lt;27.5),27,IF(AND($D72*$H$4&gt;=27.5,$D72&lt;28.5),28,IF(AND($D72*$H$4&gt;=28.5,$D72&lt;29.5),29,IF(AND($D72*$H$4&gt;=29.5,$D72&lt;30.5),30,IF(AND($D72*$H$4&gt;=30.5,$D72&lt;31.5),31,IF(AND($D72*$H$4&gt;=31.5,$D72&lt;32.5),32,IF(AND($D72*$H$4&gt;=32.5,$D72&lt;33.5),33,IF(AND($D72*$H$4&gt;=33.5,$D72&lt;34.5),34,IF(AND($D72*$H$4&gt;=34.5,$D72&lt;35.5),35,IF(AND($D72*$H$4&gt;=35.5,$D72&lt;36.5),36,IF(AND($D72*$H$4&gt;=36.5,$D72&lt;37.5),37,IF(AND($D72*$H$4&gt;=37.5,$D72&lt;38.5),38,IF(AND($D72*$H$4&gt;=38.5,$D72&lt;39.5),39,IF(AND($D72*$H$4&gt;=39.5,$D72&lt;40.5),40,IF(AND($D72*$H$4&gt;=40.5,$D72&lt;41.5),41,IF(AND($D72*$H$4&gt;=41.5,$D72&lt;42.5),42,IF(AND($D72*$H$4&gt;=42.5,$D72&lt;43.5),43,IF(AND($D72*$H$4&gt;=43.5,$D72&lt;44.5),44,IF(AND($D72*$H$4&gt;=44.5,$D72&lt;45.5),45,IF(AND($D72*$H$4&gt;=45.5,$D72&lt;46.5),46,IF(AND($D72*$H$4&gt;=46.5,$D72&lt;47.5),47,IF(AND($D72*$H$4&gt;=47.5,$D72&lt;48.5),48,IF(AND($D72*$H$4&gt;=48.5,$D72&lt;49.5),49,IF(AND($D72*$H$4&gt;=49.5,$D72&lt;50.5),50,IF(AND($D72*$H$4&gt;=50.5,$D72&lt;51.5),51,IF(AND($D72*$H$4&gt;=51.5,$D72&lt;52.5),52,IF(AND($D72*$H$4&gt;=52.5,$D72&lt;53.5),53,IF(AND($D72*$H$4&gt;=53.5,$D72&lt;54.5),54,IF(AND($D72*$H$4&gt;=54.5,$D72&lt;55.5),55,IF(AND($D72*$H$4&gt;=55.5,$D72&lt;56.5),56,IF(AND($D72*$H$4&gt;=64.5,$D72&lt;65.5),65,IF(AND($D72*$H$4&gt;=65.5,$D72&lt;66.5),66,IF(AND($D72*$H$4&gt;=86.5,$D72&lt;87.5),87,IF(AND($D72*$H$4&gt;=87.5,$D72&lt;88.5),88,IF(AND($D72*$H$4&gt;=121.5,$D72&lt;122.5),122,IF(AND($D72*$H$4&gt;=122.5,$D72&lt;123.5),123,0))))))))))))))))))))))))))))))))))))))))))))))))))))))))))))))</f>
        <v>65</v>
      </c>
      <c r="I72" s="58">
        <f t="shared" ref="I72:I135" si="23">IF(AND($D72*$I$4&gt;=0,$D72&lt;1.5),1,IF(AND($D72*$I$4&gt;=1.5,$D72&lt;2.5),2,IF(AND($D72*$I$4&gt;=2.5,$D72&lt;3.5),3,IF(AND($D72*$I$4&gt;=3.5,$D72&lt;4.5),4,IF(AND($D72*$I$4&gt;=4.5,$D72&lt;5.5),5,IF(AND($D72*$I$4&gt;=5.5,$D72&lt;6.5),6,IF(AND($D72*$I$4&gt;=6.5,$D72&lt;7.5),7,IF(AND($D72*$I$4&gt;=7.5,$D72&lt;8.5),8,IF(AND($D72*$I$4&gt;=8.5,$D72&lt;9.5),9,IF(AND($D72*$I$4&gt;=9.5,$D72&lt;10.5),10,IF(AND($D72*$I$4&gt;=10.5,$D72&lt;11.5),11,IF(AND($D72*$I$4&gt;=11.5,$D72&lt;12.5),12,IF(AND($D72*$I$4&gt;=12.5,$D72&lt;13.5),13,IF(AND($D72*$I$4&gt;=13.5,$D72&lt;14.5),14,IF(AND($D72*$I$4&gt;=14.5,$D72&lt;15.5),15,IF(AND($D72*$I$4&gt;=15.5,$D72&lt;16.5),16,IF(AND($D72*$I$4&gt;=16.5,$D72&lt;17.5),17,IF(AND($D72*$I$4&gt;=17.5,$D72&lt;18.5),18,IF(AND($D72*$I$4&gt;=18.5,$D72&lt;19.5),19,IF(AND($D72*$I$4&gt;=19.5,$D72&lt;20.5),20,IF(AND($D72*$I$4&gt;=20.5,$D72&lt;21.5),21,IF(AND($D72*$I$4&gt;=21.5,$D72&lt;22.5),22,IF(AND($D72*$I$4&gt;=22.5,$D72&lt;23.5),23,IF(AND($D72*$I$4&gt;=23.5,$D72&lt;24.5),24,IF(AND($D72*$I$4&gt;=24.5,$D72&lt;25.5),25,IF(AND($D72*$I$4&gt;=25.5,$D72&lt;26.5),26,IF(AND($D72*$I$4&gt;=26.5,$D72&lt;27.5),27,IF(AND($D72*$I$4&gt;=27.5,$D72&lt;28.5),28,IF(AND($D72*$I$4&gt;=28.5,$D72&lt;29.5),29,IF(AND($D72*$I$4&gt;=29.5,$D72&lt;30.5),30,IF(AND($D72*$I$4&gt;=30.5,$D72&lt;31.5),31,IF(AND($D72*$I$4&gt;=31.5,$D72&lt;32.5),32,IF(AND($D72*$I$4&gt;=32.5,$D72&lt;33.5),33,IF(AND($D72*$I$4&gt;=33.5,$D72&lt;34.5),34,IF(AND($D72*$I$4&gt;=34.5,$D72&lt;35.5),35,IF(AND($D72*$I$4&gt;=35.5,$D72&lt;36.5),36,IF(AND($D72*$I$4&gt;=36.5,$D72&lt;37.5),37,IF(AND($D72*$I$4&gt;=37.5,$D72&lt;38.5),38,IF(AND($D72*$I$4&gt;=38.5,$D72&lt;39.5),39,IF(AND($D72*$I$4&gt;=39.5,$D72&lt;40.5),40,IF(AND($D72*$I$4&gt;=40.5,$D72&lt;41.5),41,IF(AND($D72*$I$4&gt;=41.5,$D72&lt;42.5),42,IF(AND($D72*$I$4&gt;=42.5,$D72&lt;43.5),43,IF(AND($D72*$I$4&gt;=43.5,$D72&lt;44.5),44,IF(AND($D72*$I$4&gt;=44.5,$D72&lt;45.5),45,IF(AND($D72*$I$4&gt;=45.5,$D72&lt;46.5),46,IF(AND($D72*$I$4&gt;=46.5,$D72&lt;47.5),47,IF(AND($D72*$I$4&gt;=47.5,$D72&lt;48.5),48,IF(AND($D72*$I$4&gt;=48.5,$D72&lt;49.5),49,IF(AND($D72*$I$4&gt;=49.5,$D72&lt;50.5),50,IF(AND($D72*$I$4&gt;=50.5,$D72&lt;51.5),51,IF(AND($D72*$I$4&gt;=51.5,$D72&lt;52.5),52,IF(AND($D72*$I$4&gt;=52.5,$D72&lt;53.5),53,IF(AND($D72*$I$4&gt;=53.5,$D72&lt;54.5),54,IF(AND($D72*$I$4&gt;=54.5,$D72&lt;55.5),55,IF(AND($D72*$I$4&gt;=55.5,$D72&lt;56.5),56,IF(AND($D72*$I$4&gt;=64.5,$D72&lt;65.5),65,IF(AND($D72*$I$4&gt;=65.5,$D72&lt;66.5),66,IF(AND($D72*$I$4&gt;=86.5,$D72&lt;87.5),87,IF(AND($D72*$I$4&gt;=87.5,$D72&lt;88.5),88,IF(AND($D72*$I$4&gt;=121.5,$D72&lt;122.5),122,IF(AND($D72*$I$4&gt;=122.5,$D72&lt;123.5),123,0))))))))))))))))))))))))))))))))))))))))))))))))))))))))))))))</f>
        <v>65</v>
      </c>
      <c r="J72" s="58">
        <f t="shared" ref="J72:J135" si="24">IF(AND($D72*$J$4&gt;=0,$D72&lt;1.5),1,IF(AND($D72*$J$4&gt;=1.5,$D72&lt;2.5),2,IF(AND($D72*$J$4&gt;=2.5,$D72&lt;3.5),3,IF(AND($D72*$J$4&gt;=3.5,$D72&lt;4.5),4,IF(AND($D72*$J$4&gt;=4.5,$D72&lt;5.5),5,IF(AND($D72*$J$4&gt;=5.5,$D72&lt;6.5),6,IF(AND($D72*$J$4&gt;=6.5,$D72&lt;7.5),7,IF(AND($D72*$J$4&gt;=7.5,$D72&lt;8.5),8,IF(AND($D72*$J$4&gt;=8.5,$D72&lt;9.5),9,IF(AND($D72*$J$4&gt;=9.5,$D72&lt;10.5),10,IF(AND($D72*$J$4&gt;=10.5,$D72&lt;11.5),11,IF(AND($D72*$J$4&gt;=11.5,$D72&lt;12.5),12,IF(AND($D72*$J$4&gt;=12.5,$D72&lt;13.5),13,IF(AND($D72*$J$4&gt;=13.5,$D72&lt;14.5),14,IF(AND($D72*$J$4&gt;=14.5,$D72&lt;15.5),15,IF(AND($D72*$J$4&gt;=15.5,$D72&lt;16.5),16,IF(AND($D72*$J$4&gt;=16.5,$D72&lt;17.5),17,IF(AND($D72*$J$4&gt;=17.5,$D72&lt;18.5),18,IF(AND($D72*$J$4&gt;=18.5,$D72&lt;19.5),19,IF(AND($D72*$J$4&gt;=19.5,$D72&lt;20.5),20,IF(AND($D72*$J$4&gt;=20.5,$D72&lt;21.5),21,IF(AND($D72*$J$4&gt;=21.5,$D72&lt;22.5),22,IF(AND($D72*$J$4&gt;=22.5,$D72&lt;23.5),23,IF(AND($D72*$J$4&gt;=23.5,$D72&lt;24.5),24,IF(AND($D72*$J$4&gt;=24.5,$D72&lt;25.5),25,IF(AND($D72*$J$4&gt;=25.5,$D72&lt;26.5),26,IF(AND($D72*$J$4&gt;=26.5,$D72&lt;27.5),27,IF(AND($D72*$J$4&gt;=27.5,$D72&lt;28.5),28,IF(AND($D72*$J$4&gt;=28.5,$D72&lt;29.5),29,IF(AND($D72*$J$4&gt;=29.5,$D72&lt;30.5),30,IF(AND($D72*$J$4&gt;=30.5,$D72&lt;31.5),31,IF(AND($D72*$J$4&gt;=31.5,$D72&lt;32.5),32,IF(AND($D72*$J$4&gt;=32.5,$D72&lt;33.5),33,IF(AND($D72*$J$4&gt;=33.5,$D72&lt;34.5),34,IF(AND($D72*$J$4&gt;=34.5,$D72&lt;35.5),35,IF(AND($D72*$J$4&gt;=35.5,$D72&lt;36.5),36,IF(AND($D72*$J$4&gt;=36.5,$D72&lt;37.5),37,IF(AND($D72*$J$4&gt;=37.5,$D72&lt;38.5),38,IF(AND($D72*$J$4&gt;=38.5,$D72&lt;39.5),39,IF(AND($D72*$J$4&gt;=39.5,$D72&lt;40.5),40,IF(AND($D72*$J$4&gt;=40.5,$D72&lt;41.5),41,IF(AND($D72*$J$4&gt;=41.5,$D72&lt;42.5),42,IF(AND($D72*$J$4&gt;=42.5,$D72&lt;43.5),43,IF(AND($D72*$J$4&gt;=43.5,$D72&lt;44.5),44,IF(AND($D72*$J$4&gt;=44.5,$D72&lt;45.5),45,IF(AND($D72*$J$4&gt;=45.5,$D72&lt;46.5),46,IF(AND($D72*$J$4&gt;=46.5,$D72&lt;47.5),47,IF(AND($D72*$J$4&gt;=47.5,$D72&lt;48.5),48,IF(AND($D72*$J$4&gt;=48.5,$D72&lt;49.5),49,IF(AND($D72*$J$4&gt;=49.5,$D72&lt;50.5),50,IF(AND($D72*$J$4&gt;=50.5,$D72&lt;51.5),51,IF(AND($D72*$J$4&gt;=51.5,$D72&lt;52.5),52,IF(AND($D72*$J$4&gt;=52.5,$D72&lt;53.5),53,IF(AND($D72*$J$4&gt;=53.5,$D72&lt;54.5),54,IF(AND($D72*$J$4&gt;=54.5,$D72&lt;55.5),55,IF(AND($D72*$J$4&gt;=55.5,$D72&lt;56.5),56,IF(AND($D72*$J$4&gt;=64.5,$D72&lt;65.5),65,IF(AND($D72*$J$4&gt;=65.5,$D72&lt;66.5),66,IF(AND($D72*$J$4&gt;=86.5,$D72&lt;87.5),87,IF(AND($D72*$J$4&gt;=87.5,$D72&lt;88.5),88,IF(AND($D72*$J$4&gt;=121.5,$D72&lt;122.5),122,IF(AND($D72*$J$4&gt;=122.5,$D72&lt;123.5),123,0))))))))))))))))))))))))))))))))))))))))))))))))))))))))))))))</f>
        <v>65</v>
      </c>
      <c r="K72" s="100">
        <f>IF(AND($D72&gt;=65,$D72&lt;75),7,0)</f>
        <v>7</v>
      </c>
      <c r="L72" s="58">
        <f>IF(AND($D72&gt;=65,$D72&lt;75),7,0)</f>
        <v>7</v>
      </c>
      <c r="M72" s="58">
        <f>IF(AND($D72&gt;=65,$D72&lt;75),7,0)</f>
        <v>7</v>
      </c>
      <c r="N72" s="58">
        <f>IF(AND($D72&gt;=65,$D72&lt;75),7,0)</f>
        <v>7</v>
      </c>
      <c r="O72" s="58"/>
      <c r="P72" s="58"/>
      <c r="Q72" s="58"/>
    </row>
    <row r="73" spans="1:17" ht="43.5" customHeight="1" x14ac:dyDescent="0.25">
      <c r="A73" s="94" t="s">
        <v>589</v>
      </c>
      <c r="B73" s="58">
        <v>10602</v>
      </c>
      <c r="C73" s="94" t="s">
        <v>471</v>
      </c>
      <c r="D73" s="92">
        <v>0.5</v>
      </c>
      <c r="E73" s="100">
        <f>IF($D73*$E$4&lt;1.5,1,IF($D73*$E$4&gt;=1.5,2,0))</f>
        <v>1</v>
      </c>
      <c r="F73" s="58">
        <f t="shared" si="20"/>
        <v>1</v>
      </c>
      <c r="G73" s="58">
        <f t="shared" si="21"/>
        <v>1</v>
      </c>
      <c r="H73" s="58">
        <f t="shared" si="22"/>
        <v>1</v>
      </c>
      <c r="I73" s="58">
        <f t="shared" si="23"/>
        <v>1</v>
      </c>
      <c r="J73" s="58">
        <f t="shared" si="24"/>
        <v>1</v>
      </c>
      <c r="K73" s="100">
        <f>IF(AND($D73&gt;=0,$D73&lt;15),1,0)</f>
        <v>1</v>
      </c>
      <c r="L73" s="58">
        <f>IF(AND($D73&gt;=0,$D73&lt;15),1,0)</f>
        <v>1</v>
      </c>
      <c r="M73" s="58">
        <f>IF(AND($D73&gt;=0,$D73&lt;15),1,0)</f>
        <v>1</v>
      </c>
      <c r="N73" s="58">
        <f>IF(AND($D73&gt;=0,$D73&lt;15),1,0)</f>
        <v>1</v>
      </c>
      <c r="O73" s="58"/>
      <c r="P73" s="58"/>
      <c r="Q73" s="58"/>
    </row>
    <row r="74" spans="1:17" ht="43.5" customHeight="1" x14ac:dyDescent="0.25">
      <c r="A74" s="94" t="s">
        <v>590</v>
      </c>
      <c r="B74" s="58">
        <v>1068</v>
      </c>
      <c r="C74" s="94" t="s">
        <v>472</v>
      </c>
      <c r="D74" s="92">
        <v>17.25</v>
      </c>
      <c r="E74" s="100">
        <f>IF($D74*$E$4&lt;8.5,8,IF($D74*$E$4&gt;=8.5,9,IF($D74*$E$4&gt;=9.5,10,0)))</f>
        <v>9</v>
      </c>
      <c r="F74" s="58">
        <f t="shared" si="20"/>
        <v>17</v>
      </c>
      <c r="G74" s="58">
        <f t="shared" si="21"/>
        <v>17</v>
      </c>
      <c r="H74" s="58">
        <f t="shared" si="22"/>
        <v>17</v>
      </c>
      <c r="I74" s="58">
        <f t="shared" si="23"/>
        <v>17</v>
      </c>
      <c r="J74" s="58">
        <f t="shared" si="24"/>
        <v>17</v>
      </c>
      <c r="K74" s="100">
        <f>IF(AND($D74&gt;=15,$D74&lt;25),2,0)</f>
        <v>2</v>
      </c>
      <c r="L74" s="58">
        <f>IF(AND($D74&gt;=15,$D74&lt;25),2,0)</f>
        <v>2</v>
      </c>
      <c r="M74" s="58">
        <f>IF(AND($D74&gt;=15,$D74&lt;25),2,0)</f>
        <v>2</v>
      </c>
      <c r="N74" s="58">
        <f>IF(AND($D74&gt;=15,$D74&lt;25),2,0)</f>
        <v>2</v>
      </c>
      <c r="O74" s="58"/>
      <c r="P74" s="58"/>
      <c r="Q74" s="58"/>
    </row>
    <row r="75" spans="1:17" ht="43.5" customHeight="1" x14ac:dyDescent="0.25">
      <c r="A75" s="94" t="s">
        <v>590</v>
      </c>
      <c r="B75" s="58">
        <v>10681</v>
      </c>
      <c r="C75" s="94" t="s">
        <v>141</v>
      </c>
      <c r="D75" s="92">
        <v>2</v>
      </c>
      <c r="E75" s="100">
        <f>IF($D75*$E$4&lt;1.5,1,IF($D75*$E$4&gt;=1.5,2,0))</f>
        <v>1</v>
      </c>
      <c r="F75" s="58">
        <f t="shared" si="20"/>
        <v>2</v>
      </c>
      <c r="G75" s="58">
        <f t="shared" si="21"/>
        <v>2</v>
      </c>
      <c r="H75" s="58">
        <f t="shared" si="22"/>
        <v>2</v>
      </c>
      <c r="I75" s="58">
        <f t="shared" si="23"/>
        <v>2</v>
      </c>
      <c r="J75" s="58">
        <f t="shared" si="24"/>
        <v>2</v>
      </c>
      <c r="K75" s="100">
        <f t="shared" ref="K75:N76" si="25">IF(AND($D75&gt;=0,$D75&lt;15),1,0)</f>
        <v>1</v>
      </c>
      <c r="L75" s="58">
        <f t="shared" si="25"/>
        <v>1</v>
      </c>
      <c r="M75" s="58">
        <f t="shared" si="25"/>
        <v>1</v>
      </c>
      <c r="N75" s="58">
        <f t="shared" si="25"/>
        <v>1</v>
      </c>
      <c r="O75" s="58"/>
      <c r="P75" s="58"/>
      <c r="Q75" s="58"/>
    </row>
    <row r="76" spans="1:17" ht="43.5" customHeight="1" x14ac:dyDescent="0.25">
      <c r="A76" s="94" t="s">
        <v>591</v>
      </c>
      <c r="B76" s="58">
        <v>1069</v>
      </c>
      <c r="C76" s="94" t="s">
        <v>473</v>
      </c>
      <c r="D76" s="107">
        <v>6</v>
      </c>
      <c r="E76" s="100">
        <f>IF($D76*$E$4&lt;2.5,2,IF($D76*$E$4&gt;=2.5,3,0))*3</f>
        <v>9</v>
      </c>
      <c r="F76" s="58">
        <f t="shared" si="20"/>
        <v>6</v>
      </c>
      <c r="G76" s="58">
        <f t="shared" si="21"/>
        <v>6</v>
      </c>
      <c r="H76" s="58">
        <f t="shared" si="22"/>
        <v>6</v>
      </c>
      <c r="I76" s="58">
        <f t="shared" si="23"/>
        <v>6</v>
      </c>
      <c r="J76" s="58">
        <f t="shared" si="24"/>
        <v>6</v>
      </c>
      <c r="K76" s="100">
        <f t="shared" si="25"/>
        <v>1</v>
      </c>
      <c r="L76" s="58">
        <f t="shared" si="25"/>
        <v>1</v>
      </c>
      <c r="M76" s="58">
        <f t="shared" si="25"/>
        <v>1</v>
      </c>
      <c r="N76" s="58">
        <f t="shared" si="25"/>
        <v>1</v>
      </c>
      <c r="O76" s="58"/>
      <c r="P76" s="58"/>
      <c r="Q76" s="58"/>
    </row>
    <row r="77" spans="1:17" ht="43.5" customHeight="1" x14ac:dyDescent="0.25">
      <c r="A77" s="94" t="s">
        <v>592</v>
      </c>
      <c r="B77" s="58">
        <v>1070</v>
      </c>
      <c r="C77" s="94" t="s">
        <v>474</v>
      </c>
      <c r="D77" s="92">
        <v>18.05</v>
      </c>
      <c r="E77" s="100">
        <f>IF($D77*$E$4&lt;8.5,8,IF($D77*$E$4&gt;=8.5,9,IF($D77*$E$4&gt;=9.5,10,0)))</f>
        <v>9</v>
      </c>
      <c r="F77" s="58">
        <f t="shared" si="20"/>
        <v>18</v>
      </c>
      <c r="G77" s="58">
        <f t="shared" si="21"/>
        <v>18</v>
      </c>
      <c r="H77" s="58">
        <f t="shared" si="22"/>
        <v>18</v>
      </c>
      <c r="I77" s="58">
        <f t="shared" si="23"/>
        <v>18</v>
      </c>
      <c r="J77" s="58">
        <f t="shared" si="24"/>
        <v>18</v>
      </c>
      <c r="K77" s="100">
        <f>IF(AND($D77&gt;=15,$D77&lt;25),2,0)</f>
        <v>2</v>
      </c>
      <c r="L77" s="58">
        <f>IF(AND($D77&gt;=15,$D77&lt;25),2,0)</f>
        <v>2</v>
      </c>
      <c r="M77" s="58">
        <f>IF(AND($D77&gt;=15,$D77&lt;25),2,0)</f>
        <v>2</v>
      </c>
      <c r="N77" s="58">
        <f>IF(AND($D77&gt;=15,$D77&lt;25),2,0)</f>
        <v>2</v>
      </c>
      <c r="O77" s="58"/>
      <c r="P77" s="58"/>
      <c r="Q77" s="58"/>
    </row>
    <row r="78" spans="1:17" ht="43.5" customHeight="1" x14ac:dyDescent="0.25">
      <c r="A78" s="94" t="s">
        <v>593</v>
      </c>
      <c r="B78" s="58">
        <v>1078</v>
      </c>
      <c r="C78" s="94" t="s">
        <v>475</v>
      </c>
      <c r="D78" s="92">
        <v>0.5</v>
      </c>
      <c r="E78" s="100">
        <f>IF($D78*$E$4&lt;1.5,1,IF($D78*$E$4&gt;=1.5,2,0))</f>
        <v>1</v>
      </c>
      <c r="F78" s="58">
        <f t="shared" si="20"/>
        <v>1</v>
      </c>
      <c r="G78" s="58">
        <f t="shared" si="21"/>
        <v>1</v>
      </c>
      <c r="H78" s="58">
        <f t="shared" si="22"/>
        <v>1</v>
      </c>
      <c r="I78" s="58">
        <f t="shared" si="23"/>
        <v>1</v>
      </c>
      <c r="J78" s="58">
        <f t="shared" si="24"/>
        <v>1</v>
      </c>
      <c r="K78" s="100">
        <f t="shared" ref="K78:N80" si="26">IF(AND($D78&gt;=0,$D78&lt;15),1,0)</f>
        <v>1</v>
      </c>
      <c r="L78" s="58">
        <f t="shared" si="26"/>
        <v>1</v>
      </c>
      <c r="M78" s="58">
        <f t="shared" si="26"/>
        <v>1</v>
      </c>
      <c r="N78" s="58">
        <f t="shared" si="26"/>
        <v>1</v>
      </c>
      <c r="O78" s="58"/>
      <c r="P78" s="58"/>
      <c r="Q78" s="58"/>
    </row>
    <row r="79" spans="1:17" ht="43.5" customHeight="1" x14ac:dyDescent="0.25">
      <c r="A79" s="94" t="s">
        <v>593</v>
      </c>
      <c r="B79" s="58">
        <v>107801</v>
      </c>
      <c r="C79" s="94" t="s">
        <v>476</v>
      </c>
      <c r="D79" s="92">
        <v>5</v>
      </c>
      <c r="E79" s="100">
        <f>IF($D79*$E$4&lt;2.5,2,IF($D79*$E$4&gt;=2.5,3,0))</f>
        <v>3</v>
      </c>
      <c r="F79" s="58">
        <f t="shared" si="20"/>
        <v>5</v>
      </c>
      <c r="G79" s="58">
        <f t="shared" si="21"/>
        <v>5</v>
      </c>
      <c r="H79" s="58">
        <f t="shared" si="22"/>
        <v>5</v>
      </c>
      <c r="I79" s="58">
        <f t="shared" si="23"/>
        <v>5</v>
      </c>
      <c r="J79" s="58">
        <f t="shared" si="24"/>
        <v>5</v>
      </c>
      <c r="K79" s="100">
        <f t="shared" si="26"/>
        <v>1</v>
      </c>
      <c r="L79" s="58">
        <f t="shared" si="26"/>
        <v>1</v>
      </c>
      <c r="M79" s="58">
        <f t="shared" si="26"/>
        <v>1</v>
      </c>
      <c r="N79" s="58">
        <f t="shared" si="26"/>
        <v>1</v>
      </c>
      <c r="O79" s="58"/>
      <c r="P79" s="58"/>
      <c r="Q79" s="58"/>
    </row>
    <row r="80" spans="1:17" ht="43.5" customHeight="1" x14ac:dyDescent="0.25">
      <c r="A80" s="94" t="s">
        <v>593</v>
      </c>
      <c r="B80" s="58">
        <v>107802</v>
      </c>
      <c r="C80" s="94" t="s">
        <v>477</v>
      </c>
      <c r="D80" s="92">
        <v>13.5</v>
      </c>
      <c r="E80" s="100">
        <f>IF($D80*$E$4&lt;6.5,6,IF($D80*$E$4&gt;=6.5,7,IF($D80*$E$4&lt;7.5,7,IF($D80*$E$4&gt;=7.5,8,0))))</f>
        <v>7</v>
      </c>
      <c r="F80" s="58">
        <f t="shared" si="20"/>
        <v>14</v>
      </c>
      <c r="G80" s="58">
        <f t="shared" si="21"/>
        <v>14</v>
      </c>
      <c r="H80" s="58">
        <f t="shared" si="22"/>
        <v>14</v>
      </c>
      <c r="I80" s="58">
        <f t="shared" si="23"/>
        <v>14</v>
      </c>
      <c r="J80" s="58">
        <f t="shared" si="24"/>
        <v>14</v>
      </c>
      <c r="K80" s="100">
        <f t="shared" si="26"/>
        <v>1</v>
      </c>
      <c r="L80" s="58">
        <f t="shared" si="26"/>
        <v>1</v>
      </c>
      <c r="M80" s="58">
        <f t="shared" si="26"/>
        <v>1</v>
      </c>
      <c r="N80" s="58">
        <f t="shared" si="26"/>
        <v>1</v>
      </c>
      <c r="O80" s="58"/>
      <c r="P80" s="58"/>
      <c r="Q80" s="58"/>
    </row>
    <row r="81" spans="1:17" ht="43.5" customHeight="1" x14ac:dyDescent="0.25">
      <c r="A81" s="94" t="s">
        <v>594</v>
      </c>
      <c r="B81" s="58">
        <v>1080</v>
      </c>
      <c r="C81" s="94" t="s">
        <v>478</v>
      </c>
      <c r="D81" s="92">
        <v>122.68</v>
      </c>
      <c r="E81" s="100">
        <f>IF($D81*$E$4&lt;61.5,61,IF($D81*$E$4&gt;=61.5,62,0))</f>
        <v>61</v>
      </c>
      <c r="F81" s="58">
        <f t="shared" si="20"/>
        <v>123</v>
      </c>
      <c r="G81" s="58">
        <f t="shared" si="21"/>
        <v>123</v>
      </c>
      <c r="H81" s="58">
        <f t="shared" si="22"/>
        <v>123</v>
      </c>
      <c r="I81" s="58">
        <f t="shared" si="23"/>
        <v>123</v>
      </c>
      <c r="J81" s="58">
        <f t="shared" si="24"/>
        <v>123</v>
      </c>
      <c r="K81" s="100">
        <f>IF(AND($D81&gt;=115,$D81&lt;125),12,0)</f>
        <v>12</v>
      </c>
      <c r="L81" s="58">
        <f>IF(AND($D81&gt;=115,$D81&lt;125),12,0)</f>
        <v>12</v>
      </c>
      <c r="M81" s="58">
        <f>IF(AND($D81&gt;=115,$D81&lt;125),12,0)</f>
        <v>12</v>
      </c>
      <c r="N81" s="58">
        <f>IF(AND($D81&gt;=115,$D81&lt;125),12,0)</f>
        <v>12</v>
      </c>
      <c r="O81" s="58"/>
      <c r="P81" s="58"/>
      <c r="Q81" s="58"/>
    </row>
    <row r="82" spans="1:17" ht="43.5" customHeight="1" x14ac:dyDescent="0.25">
      <c r="A82" s="94" t="s">
        <v>594</v>
      </c>
      <c r="B82" s="58">
        <v>108014</v>
      </c>
      <c r="C82" s="94" t="s">
        <v>153</v>
      </c>
      <c r="D82" s="92">
        <v>8.25</v>
      </c>
      <c r="E82" s="100">
        <f>IF($D82*$E$4&lt;3.5,3,IF($D82*$E$4&lt;4.5,4,IF($D82*$E$4&gt;=4.5,5,0)))</f>
        <v>4</v>
      </c>
      <c r="F82" s="58">
        <f t="shared" si="20"/>
        <v>8</v>
      </c>
      <c r="G82" s="58">
        <f t="shared" si="21"/>
        <v>8</v>
      </c>
      <c r="H82" s="58">
        <f t="shared" si="22"/>
        <v>8</v>
      </c>
      <c r="I82" s="58">
        <f t="shared" si="23"/>
        <v>8</v>
      </c>
      <c r="J82" s="58">
        <f t="shared" si="24"/>
        <v>8</v>
      </c>
      <c r="K82" s="100">
        <f t="shared" ref="K82:N87" si="27">IF(AND($D82&gt;=0,$D82&lt;15),1,0)</f>
        <v>1</v>
      </c>
      <c r="L82" s="58">
        <f t="shared" si="27"/>
        <v>1</v>
      </c>
      <c r="M82" s="58">
        <f t="shared" si="27"/>
        <v>1</v>
      </c>
      <c r="N82" s="58">
        <f t="shared" si="27"/>
        <v>1</v>
      </c>
      <c r="O82" s="58"/>
      <c r="P82" s="58"/>
      <c r="Q82" s="58"/>
    </row>
    <row r="83" spans="1:17" ht="43.5" customHeight="1" x14ac:dyDescent="0.25">
      <c r="A83" s="94" t="s">
        <v>594</v>
      </c>
      <c r="B83" s="58">
        <v>108015</v>
      </c>
      <c r="C83" s="94" t="s">
        <v>155</v>
      </c>
      <c r="D83" s="92">
        <v>0.25</v>
      </c>
      <c r="E83" s="100">
        <f>IF($D83*$E$4&lt;1.5,1,IF($D83*$E$4&gt;=1.5,2,0))</f>
        <v>1</v>
      </c>
      <c r="F83" s="58">
        <f t="shared" si="20"/>
        <v>1</v>
      </c>
      <c r="G83" s="58">
        <f t="shared" si="21"/>
        <v>1</v>
      </c>
      <c r="H83" s="58">
        <f t="shared" si="22"/>
        <v>1</v>
      </c>
      <c r="I83" s="58">
        <f t="shared" si="23"/>
        <v>1</v>
      </c>
      <c r="J83" s="58">
        <f t="shared" si="24"/>
        <v>1</v>
      </c>
      <c r="K83" s="100">
        <f t="shared" si="27"/>
        <v>1</v>
      </c>
      <c r="L83" s="58">
        <f t="shared" si="27"/>
        <v>1</v>
      </c>
      <c r="M83" s="58">
        <f t="shared" si="27"/>
        <v>1</v>
      </c>
      <c r="N83" s="58">
        <f t="shared" si="27"/>
        <v>1</v>
      </c>
      <c r="O83" s="58"/>
      <c r="P83" s="58"/>
      <c r="Q83" s="58"/>
    </row>
    <row r="84" spans="1:17" ht="43.5" customHeight="1" x14ac:dyDescent="0.25">
      <c r="A84" s="94" t="s">
        <v>594</v>
      </c>
      <c r="B84" s="58">
        <v>108016</v>
      </c>
      <c r="C84" s="94" t="s">
        <v>157</v>
      </c>
      <c r="D84" s="92">
        <v>0.25</v>
      </c>
      <c r="E84" s="100">
        <f>IF($D84*$E$4&lt;1.5,1,IF($D84*$E$4&gt;=1.5,2,0))</f>
        <v>1</v>
      </c>
      <c r="F84" s="58">
        <f t="shared" si="20"/>
        <v>1</v>
      </c>
      <c r="G84" s="58">
        <f t="shared" si="21"/>
        <v>1</v>
      </c>
      <c r="H84" s="58">
        <f t="shared" si="22"/>
        <v>1</v>
      </c>
      <c r="I84" s="58">
        <f t="shared" si="23"/>
        <v>1</v>
      </c>
      <c r="J84" s="58">
        <f t="shared" si="24"/>
        <v>1</v>
      </c>
      <c r="K84" s="100">
        <f t="shared" si="27"/>
        <v>1</v>
      </c>
      <c r="L84" s="58">
        <f t="shared" si="27"/>
        <v>1</v>
      </c>
      <c r="M84" s="58">
        <f t="shared" si="27"/>
        <v>1</v>
      </c>
      <c r="N84" s="58">
        <f t="shared" si="27"/>
        <v>1</v>
      </c>
      <c r="O84" s="58"/>
      <c r="P84" s="58"/>
      <c r="Q84" s="58"/>
    </row>
    <row r="85" spans="1:17" ht="43.5" customHeight="1" x14ac:dyDescent="0.25">
      <c r="A85" s="94" t="s">
        <v>594</v>
      </c>
      <c r="B85" s="58">
        <v>108017</v>
      </c>
      <c r="C85" s="94" t="s">
        <v>159</v>
      </c>
      <c r="D85" s="92">
        <v>0.25</v>
      </c>
      <c r="E85" s="100">
        <f>IF($D85*$E$4&lt;1.5,1,IF($D85*$E$4&gt;=1.5,2,0))</f>
        <v>1</v>
      </c>
      <c r="F85" s="58">
        <f t="shared" si="20"/>
        <v>1</v>
      </c>
      <c r="G85" s="58">
        <f t="shared" si="21"/>
        <v>1</v>
      </c>
      <c r="H85" s="58">
        <f t="shared" si="22"/>
        <v>1</v>
      </c>
      <c r="I85" s="58">
        <f t="shared" si="23"/>
        <v>1</v>
      </c>
      <c r="J85" s="58">
        <f t="shared" si="24"/>
        <v>1</v>
      </c>
      <c r="K85" s="100">
        <f t="shared" si="27"/>
        <v>1</v>
      </c>
      <c r="L85" s="58">
        <f t="shared" si="27"/>
        <v>1</v>
      </c>
      <c r="M85" s="58">
        <f t="shared" si="27"/>
        <v>1</v>
      </c>
      <c r="N85" s="58">
        <f t="shared" si="27"/>
        <v>1</v>
      </c>
      <c r="O85" s="58"/>
      <c r="P85" s="58"/>
      <c r="Q85" s="58"/>
    </row>
    <row r="86" spans="1:17" ht="43.5" customHeight="1" x14ac:dyDescent="0.25">
      <c r="A86" s="94" t="s">
        <v>594</v>
      </c>
      <c r="B86" s="58">
        <v>108018</v>
      </c>
      <c r="C86" s="94" t="s">
        <v>479</v>
      </c>
      <c r="D86" s="92">
        <v>3</v>
      </c>
      <c r="E86" s="100">
        <f>IF($D86*$E$4&lt;1.5,1,IF($D86*$E$4&gt;=1.5,2,0))</f>
        <v>2</v>
      </c>
      <c r="F86" s="58">
        <f t="shared" si="20"/>
        <v>3</v>
      </c>
      <c r="G86" s="58">
        <f t="shared" si="21"/>
        <v>3</v>
      </c>
      <c r="H86" s="58">
        <f t="shared" si="22"/>
        <v>3</v>
      </c>
      <c r="I86" s="58">
        <f t="shared" si="23"/>
        <v>3</v>
      </c>
      <c r="J86" s="58">
        <f t="shared" si="24"/>
        <v>3</v>
      </c>
      <c r="K86" s="100">
        <f t="shared" si="27"/>
        <v>1</v>
      </c>
      <c r="L86" s="58">
        <f t="shared" si="27"/>
        <v>1</v>
      </c>
      <c r="M86" s="58">
        <f t="shared" si="27"/>
        <v>1</v>
      </c>
      <c r="N86" s="58">
        <f t="shared" si="27"/>
        <v>1</v>
      </c>
      <c r="O86" s="58"/>
      <c r="P86" s="58"/>
      <c r="Q86" s="58"/>
    </row>
    <row r="87" spans="1:17" ht="43.5" customHeight="1" x14ac:dyDescent="0.25">
      <c r="A87" s="94" t="s">
        <v>594</v>
      </c>
      <c r="B87" s="58">
        <v>108019</v>
      </c>
      <c r="C87" s="94" t="s">
        <v>163</v>
      </c>
      <c r="D87" s="92">
        <v>1</v>
      </c>
      <c r="E87" s="100">
        <f>IF($D87*$E$4&lt;1.5,1,IF($D87*$E$4&gt;=1.5,2,0))</f>
        <v>1</v>
      </c>
      <c r="F87" s="58">
        <f t="shared" si="20"/>
        <v>1</v>
      </c>
      <c r="G87" s="58">
        <f t="shared" si="21"/>
        <v>1</v>
      </c>
      <c r="H87" s="58">
        <f t="shared" si="22"/>
        <v>1</v>
      </c>
      <c r="I87" s="58">
        <f t="shared" si="23"/>
        <v>1</v>
      </c>
      <c r="J87" s="58">
        <f t="shared" si="24"/>
        <v>1</v>
      </c>
      <c r="K87" s="100">
        <f t="shared" si="27"/>
        <v>1</v>
      </c>
      <c r="L87" s="58">
        <f t="shared" si="27"/>
        <v>1</v>
      </c>
      <c r="M87" s="58">
        <f t="shared" si="27"/>
        <v>1</v>
      </c>
      <c r="N87" s="58">
        <f t="shared" si="27"/>
        <v>1</v>
      </c>
      <c r="O87" s="58"/>
      <c r="P87" s="58"/>
      <c r="Q87" s="58"/>
    </row>
    <row r="88" spans="1:17" ht="43.5" customHeight="1" x14ac:dyDescent="0.25">
      <c r="A88" s="94" t="s">
        <v>595</v>
      </c>
      <c r="B88" s="58">
        <v>1090</v>
      </c>
      <c r="C88" s="94" t="s">
        <v>165</v>
      </c>
      <c r="D88" s="92">
        <v>87.39</v>
      </c>
      <c r="E88" s="100">
        <f>IF($D88*$E$4&lt;43.5,43,IF($D88*$E$4&gt;=43.5,44,0))</f>
        <v>44</v>
      </c>
      <c r="F88" s="58">
        <f t="shared" si="20"/>
        <v>87</v>
      </c>
      <c r="G88" s="58">
        <f t="shared" si="21"/>
        <v>87</v>
      </c>
      <c r="H88" s="58">
        <f t="shared" si="22"/>
        <v>87</v>
      </c>
      <c r="I88" s="58">
        <f t="shared" si="23"/>
        <v>87</v>
      </c>
      <c r="J88" s="58">
        <f t="shared" si="24"/>
        <v>87</v>
      </c>
      <c r="K88" s="100">
        <f>IF(AND($D88&gt;=85,$D88&lt;95),9,0)</f>
        <v>9</v>
      </c>
      <c r="L88" s="58">
        <f>IF(AND($D88&gt;=85,$D88&lt;95),9,0)</f>
        <v>9</v>
      </c>
      <c r="M88" s="58">
        <f>IF(AND($D88&gt;=85,$D88&lt;95),9,0)</f>
        <v>9</v>
      </c>
      <c r="N88" s="58">
        <f>IF(AND($D88&gt;=85,$D88&lt;95),9,0)</f>
        <v>9</v>
      </c>
      <c r="O88" s="58"/>
      <c r="P88" s="58"/>
      <c r="Q88" s="58"/>
    </row>
    <row r="89" spans="1:17" ht="43.5" customHeight="1" x14ac:dyDescent="0.25">
      <c r="A89" s="94" t="s">
        <v>595</v>
      </c>
      <c r="B89" s="58">
        <v>10902</v>
      </c>
      <c r="C89" s="94" t="s">
        <v>167</v>
      </c>
      <c r="D89" s="92">
        <v>0.75</v>
      </c>
      <c r="E89" s="100">
        <f t="shared" ref="E89:E96" si="28">IF($D89*$E$4&lt;1.5,1,IF($D89*$E$4&gt;=1.5,2,0))</f>
        <v>1</v>
      </c>
      <c r="F89" s="58">
        <f t="shared" si="20"/>
        <v>1</v>
      </c>
      <c r="G89" s="58">
        <f t="shared" si="21"/>
        <v>1</v>
      </c>
      <c r="H89" s="58">
        <f t="shared" si="22"/>
        <v>1</v>
      </c>
      <c r="I89" s="58">
        <f t="shared" si="23"/>
        <v>1</v>
      </c>
      <c r="J89" s="58">
        <f t="shared" si="24"/>
        <v>1</v>
      </c>
      <c r="K89" s="100">
        <f t="shared" ref="K89:N100" si="29">IF(AND($D89&gt;=0,$D89&lt;15),1,0)</f>
        <v>1</v>
      </c>
      <c r="L89" s="58">
        <f t="shared" si="29"/>
        <v>1</v>
      </c>
      <c r="M89" s="58">
        <f t="shared" si="29"/>
        <v>1</v>
      </c>
      <c r="N89" s="58">
        <f t="shared" si="29"/>
        <v>1</v>
      </c>
      <c r="O89" s="58"/>
      <c r="P89" s="58"/>
      <c r="Q89" s="58"/>
    </row>
    <row r="90" spans="1:17" ht="43.5" customHeight="1" x14ac:dyDescent="0.25">
      <c r="A90" s="94" t="s">
        <v>595</v>
      </c>
      <c r="B90" s="58">
        <v>10903</v>
      </c>
      <c r="C90" s="94" t="s">
        <v>169</v>
      </c>
      <c r="D90" s="92">
        <v>0.75</v>
      </c>
      <c r="E90" s="100">
        <f t="shared" si="28"/>
        <v>1</v>
      </c>
      <c r="F90" s="58">
        <f t="shared" si="20"/>
        <v>1</v>
      </c>
      <c r="G90" s="58">
        <f t="shared" si="21"/>
        <v>1</v>
      </c>
      <c r="H90" s="58">
        <f t="shared" si="22"/>
        <v>1</v>
      </c>
      <c r="I90" s="58">
        <f t="shared" si="23"/>
        <v>1</v>
      </c>
      <c r="J90" s="58">
        <f t="shared" si="24"/>
        <v>1</v>
      </c>
      <c r="K90" s="100">
        <f t="shared" si="29"/>
        <v>1</v>
      </c>
      <c r="L90" s="58">
        <f t="shared" si="29"/>
        <v>1</v>
      </c>
      <c r="M90" s="58">
        <f t="shared" si="29"/>
        <v>1</v>
      </c>
      <c r="N90" s="58">
        <f t="shared" si="29"/>
        <v>1</v>
      </c>
      <c r="O90" s="58"/>
      <c r="P90" s="58"/>
      <c r="Q90" s="58"/>
    </row>
    <row r="91" spans="1:17" ht="43.5" customHeight="1" x14ac:dyDescent="0.25">
      <c r="A91" s="94" t="s">
        <v>595</v>
      </c>
      <c r="B91" s="58">
        <v>10904</v>
      </c>
      <c r="C91" s="94" t="s">
        <v>171</v>
      </c>
      <c r="D91" s="92">
        <v>0.25</v>
      </c>
      <c r="E91" s="100">
        <f t="shared" si="28"/>
        <v>1</v>
      </c>
      <c r="F91" s="58">
        <f t="shared" si="20"/>
        <v>1</v>
      </c>
      <c r="G91" s="58">
        <f t="shared" si="21"/>
        <v>1</v>
      </c>
      <c r="H91" s="58">
        <f t="shared" si="22"/>
        <v>1</v>
      </c>
      <c r="I91" s="58">
        <f t="shared" si="23"/>
        <v>1</v>
      </c>
      <c r="J91" s="58">
        <f t="shared" si="24"/>
        <v>1</v>
      </c>
      <c r="K91" s="100">
        <f t="shared" si="29"/>
        <v>1</v>
      </c>
      <c r="L91" s="58">
        <f t="shared" si="29"/>
        <v>1</v>
      </c>
      <c r="M91" s="58">
        <f t="shared" si="29"/>
        <v>1</v>
      </c>
      <c r="N91" s="58">
        <f t="shared" si="29"/>
        <v>1</v>
      </c>
      <c r="O91" s="58"/>
      <c r="P91" s="58"/>
      <c r="Q91" s="58"/>
    </row>
    <row r="92" spans="1:17" ht="43.5" customHeight="1" x14ac:dyDescent="0.25">
      <c r="A92" s="94" t="s">
        <v>595</v>
      </c>
      <c r="B92" s="58">
        <v>10905</v>
      </c>
      <c r="C92" s="94" t="s">
        <v>173</v>
      </c>
      <c r="D92" s="92">
        <v>0.25</v>
      </c>
      <c r="E92" s="100">
        <f t="shared" si="28"/>
        <v>1</v>
      </c>
      <c r="F92" s="58">
        <f t="shared" si="20"/>
        <v>1</v>
      </c>
      <c r="G92" s="58">
        <f t="shared" si="21"/>
        <v>1</v>
      </c>
      <c r="H92" s="58">
        <f t="shared" si="22"/>
        <v>1</v>
      </c>
      <c r="I92" s="58">
        <f t="shared" si="23"/>
        <v>1</v>
      </c>
      <c r="J92" s="58">
        <f t="shared" si="24"/>
        <v>1</v>
      </c>
      <c r="K92" s="100">
        <f t="shared" si="29"/>
        <v>1</v>
      </c>
      <c r="L92" s="58">
        <f t="shared" si="29"/>
        <v>1</v>
      </c>
      <c r="M92" s="58">
        <f t="shared" si="29"/>
        <v>1</v>
      </c>
      <c r="N92" s="58">
        <f t="shared" si="29"/>
        <v>1</v>
      </c>
      <c r="O92" s="58"/>
      <c r="P92" s="58"/>
      <c r="Q92" s="58"/>
    </row>
    <row r="93" spans="1:17" ht="43.5" customHeight="1" x14ac:dyDescent="0.25">
      <c r="A93" s="94" t="s">
        <v>596</v>
      </c>
      <c r="B93" s="58">
        <v>111</v>
      </c>
      <c r="C93" s="94" t="s">
        <v>175</v>
      </c>
      <c r="D93" s="92">
        <v>1</v>
      </c>
      <c r="E93" s="100">
        <f t="shared" si="28"/>
        <v>1</v>
      </c>
      <c r="F93" s="58">
        <f t="shared" si="20"/>
        <v>1</v>
      </c>
      <c r="G93" s="58">
        <f t="shared" si="21"/>
        <v>1</v>
      </c>
      <c r="H93" s="58">
        <f t="shared" si="22"/>
        <v>1</v>
      </c>
      <c r="I93" s="58">
        <f t="shared" si="23"/>
        <v>1</v>
      </c>
      <c r="J93" s="58">
        <f t="shared" si="24"/>
        <v>1</v>
      </c>
      <c r="K93" s="100">
        <f t="shared" si="29"/>
        <v>1</v>
      </c>
      <c r="L93" s="58">
        <f t="shared" si="29"/>
        <v>1</v>
      </c>
      <c r="M93" s="58">
        <f t="shared" si="29"/>
        <v>1</v>
      </c>
      <c r="N93" s="58">
        <f t="shared" si="29"/>
        <v>1</v>
      </c>
      <c r="O93" s="58"/>
      <c r="P93" s="58"/>
      <c r="Q93" s="58"/>
    </row>
    <row r="94" spans="1:17" ht="43.5" customHeight="1" x14ac:dyDescent="0.25">
      <c r="A94" s="94" t="s">
        <v>597</v>
      </c>
      <c r="B94" s="58">
        <v>11105</v>
      </c>
      <c r="C94" s="94" t="s">
        <v>480</v>
      </c>
      <c r="D94" s="92">
        <v>2</v>
      </c>
      <c r="E94" s="100">
        <f t="shared" si="28"/>
        <v>1</v>
      </c>
      <c r="F94" s="58">
        <f t="shared" si="20"/>
        <v>2</v>
      </c>
      <c r="G94" s="58">
        <f t="shared" si="21"/>
        <v>2</v>
      </c>
      <c r="H94" s="58">
        <f t="shared" si="22"/>
        <v>2</v>
      </c>
      <c r="I94" s="58">
        <f t="shared" si="23"/>
        <v>2</v>
      </c>
      <c r="J94" s="58">
        <f t="shared" si="24"/>
        <v>2</v>
      </c>
      <c r="K94" s="100">
        <f t="shared" si="29"/>
        <v>1</v>
      </c>
      <c r="L94" s="58">
        <f t="shared" si="29"/>
        <v>1</v>
      </c>
      <c r="M94" s="58">
        <f t="shared" si="29"/>
        <v>1</v>
      </c>
      <c r="N94" s="58">
        <f t="shared" si="29"/>
        <v>1</v>
      </c>
      <c r="O94" s="58"/>
      <c r="P94" s="58"/>
      <c r="Q94" s="58"/>
    </row>
    <row r="95" spans="1:17" ht="43.5" customHeight="1" x14ac:dyDescent="0.25">
      <c r="A95" s="94" t="s">
        <v>598</v>
      </c>
      <c r="B95" s="58">
        <v>11109</v>
      </c>
      <c r="C95" s="94" t="s">
        <v>481</v>
      </c>
      <c r="D95" s="92">
        <v>1</v>
      </c>
      <c r="E95" s="100">
        <f t="shared" si="28"/>
        <v>1</v>
      </c>
      <c r="F95" s="58">
        <f t="shared" si="20"/>
        <v>1</v>
      </c>
      <c r="G95" s="58">
        <f t="shared" si="21"/>
        <v>1</v>
      </c>
      <c r="H95" s="58">
        <f t="shared" si="22"/>
        <v>1</v>
      </c>
      <c r="I95" s="58">
        <f t="shared" si="23"/>
        <v>1</v>
      </c>
      <c r="J95" s="58">
        <f t="shared" si="24"/>
        <v>1</v>
      </c>
      <c r="K95" s="100">
        <f t="shared" si="29"/>
        <v>1</v>
      </c>
      <c r="L95" s="58">
        <f t="shared" si="29"/>
        <v>1</v>
      </c>
      <c r="M95" s="58">
        <f t="shared" si="29"/>
        <v>1</v>
      </c>
      <c r="N95" s="58">
        <f t="shared" si="29"/>
        <v>1</v>
      </c>
      <c r="O95" s="58"/>
      <c r="P95" s="58"/>
      <c r="Q95" s="58"/>
    </row>
    <row r="96" spans="1:17" ht="43.5" customHeight="1" x14ac:dyDescent="0.25">
      <c r="A96" s="94" t="s">
        <v>598</v>
      </c>
      <c r="B96" s="58">
        <v>111091</v>
      </c>
      <c r="C96" s="94" t="s">
        <v>482</v>
      </c>
      <c r="D96" s="92">
        <v>2.75</v>
      </c>
      <c r="E96" s="100">
        <f t="shared" si="28"/>
        <v>1</v>
      </c>
      <c r="F96" s="58">
        <f t="shared" si="20"/>
        <v>3</v>
      </c>
      <c r="G96" s="58">
        <f t="shared" si="21"/>
        <v>3</v>
      </c>
      <c r="H96" s="58">
        <f t="shared" si="22"/>
        <v>3</v>
      </c>
      <c r="I96" s="58">
        <f t="shared" si="23"/>
        <v>3</v>
      </c>
      <c r="J96" s="58">
        <f t="shared" si="24"/>
        <v>3</v>
      </c>
      <c r="K96" s="100">
        <f t="shared" si="29"/>
        <v>1</v>
      </c>
      <c r="L96" s="58">
        <f t="shared" si="29"/>
        <v>1</v>
      </c>
      <c r="M96" s="58">
        <f t="shared" si="29"/>
        <v>1</v>
      </c>
      <c r="N96" s="58">
        <f t="shared" si="29"/>
        <v>1</v>
      </c>
      <c r="O96" s="58"/>
      <c r="P96" s="58"/>
      <c r="Q96" s="58"/>
    </row>
    <row r="97" spans="1:17" ht="43.5" customHeight="1" x14ac:dyDescent="0.25">
      <c r="A97" s="94" t="s">
        <v>598</v>
      </c>
      <c r="B97" s="58">
        <v>111092</v>
      </c>
      <c r="C97" s="94" t="s">
        <v>483</v>
      </c>
      <c r="D97" s="92">
        <v>10.25</v>
      </c>
      <c r="E97" s="100">
        <f>IF($D97*$E$4&lt;3.5,3,IF($D97*$E$4&lt;4.5,4,IF($D97*$E$4&gt;=4.5,5,0)))</f>
        <v>5</v>
      </c>
      <c r="F97" s="58">
        <f t="shared" si="20"/>
        <v>10</v>
      </c>
      <c r="G97" s="58">
        <f t="shared" si="21"/>
        <v>10</v>
      </c>
      <c r="H97" s="58">
        <f t="shared" si="22"/>
        <v>10</v>
      </c>
      <c r="I97" s="58">
        <f t="shared" si="23"/>
        <v>10</v>
      </c>
      <c r="J97" s="58">
        <f t="shared" si="24"/>
        <v>10</v>
      </c>
      <c r="K97" s="100">
        <f t="shared" si="29"/>
        <v>1</v>
      </c>
      <c r="L97" s="58">
        <f t="shared" si="29"/>
        <v>1</v>
      </c>
      <c r="M97" s="58">
        <f t="shared" si="29"/>
        <v>1</v>
      </c>
      <c r="N97" s="58">
        <f t="shared" si="29"/>
        <v>1</v>
      </c>
      <c r="O97" s="58"/>
      <c r="P97" s="58"/>
      <c r="Q97" s="58"/>
    </row>
    <row r="98" spans="1:17" ht="43.5" customHeight="1" x14ac:dyDescent="0.25">
      <c r="A98" s="94" t="s">
        <v>598</v>
      </c>
      <c r="B98" s="58">
        <v>111093</v>
      </c>
      <c r="C98" s="94" t="s">
        <v>484</v>
      </c>
      <c r="D98" s="92">
        <v>1.25</v>
      </c>
      <c r="E98" s="100">
        <f>IF($D98*$E$4&lt;1.5,1,IF($D98*$E$4&gt;=1.5,2,0))</f>
        <v>1</v>
      </c>
      <c r="F98" s="58">
        <f t="shared" si="20"/>
        <v>1</v>
      </c>
      <c r="G98" s="58">
        <f t="shared" si="21"/>
        <v>1</v>
      </c>
      <c r="H98" s="58">
        <f t="shared" si="22"/>
        <v>1</v>
      </c>
      <c r="I98" s="58">
        <f t="shared" si="23"/>
        <v>1</v>
      </c>
      <c r="J98" s="58">
        <f t="shared" si="24"/>
        <v>1</v>
      </c>
      <c r="K98" s="100">
        <f t="shared" si="29"/>
        <v>1</v>
      </c>
      <c r="L98" s="58">
        <f t="shared" si="29"/>
        <v>1</v>
      </c>
      <c r="M98" s="58">
        <f t="shared" si="29"/>
        <v>1</v>
      </c>
      <c r="N98" s="58">
        <f t="shared" si="29"/>
        <v>1</v>
      </c>
      <c r="O98" s="58"/>
      <c r="P98" s="58"/>
      <c r="Q98" s="58"/>
    </row>
    <row r="99" spans="1:17" ht="43.5" customHeight="1" x14ac:dyDescent="0.25">
      <c r="A99" s="94" t="s">
        <v>599</v>
      </c>
      <c r="B99" s="58">
        <v>112</v>
      </c>
      <c r="C99" s="94" t="s">
        <v>187</v>
      </c>
      <c r="D99" s="92">
        <v>1</v>
      </c>
      <c r="E99" s="100">
        <f>IF($D99*$E$4&lt;1.5,1,IF($D99*$E$4&gt;=1.5,2,0))</f>
        <v>1</v>
      </c>
      <c r="F99" s="58">
        <f t="shared" si="20"/>
        <v>1</v>
      </c>
      <c r="G99" s="58">
        <f t="shared" si="21"/>
        <v>1</v>
      </c>
      <c r="H99" s="58">
        <f t="shared" si="22"/>
        <v>1</v>
      </c>
      <c r="I99" s="58">
        <f t="shared" si="23"/>
        <v>1</v>
      </c>
      <c r="J99" s="58">
        <f t="shared" si="24"/>
        <v>1</v>
      </c>
      <c r="K99" s="100">
        <f t="shared" si="29"/>
        <v>1</v>
      </c>
      <c r="L99" s="58">
        <f t="shared" si="29"/>
        <v>1</v>
      </c>
      <c r="M99" s="58">
        <f t="shared" si="29"/>
        <v>1</v>
      </c>
      <c r="N99" s="58">
        <f t="shared" si="29"/>
        <v>1</v>
      </c>
      <c r="O99" s="58"/>
      <c r="P99" s="58"/>
      <c r="Q99" s="58"/>
    </row>
    <row r="100" spans="1:17" ht="43.5" customHeight="1" x14ac:dyDescent="0.25">
      <c r="A100" s="94" t="s">
        <v>600</v>
      </c>
      <c r="B100" s="58">
        <v>11232</v>
      </c>
      <c r="C100" s="94" t="s">
        <v>485</v>
      </c>
      <c r="D100" s="92">
        <v>1</v>
      </c>
      <c r="E100" s="100">
        <f>IF($D100*$E$4&lt;1.5,1,IF($D100*$E$4&gt;=1.5,2,0))</f>
        <v>1</v>
      </c>
      <c r="F100" s="58">
        <f t="shared" si="20"/>
        <v>1</v>
      </c>
      <c r="G100" s="58">
        <f t="shared" si="21"/>
        <v>1</v>
      </c>
      <c r="H100" s="58">
        <f t="shared" si="22"/>
        <v>1</v>
      </c>
      <c r="I100" s="58">
        <f t="shared" si="23"/>
        <v>1</v>
      </c>
      <c r="J100" s="58">
        <f t="shared" si="24"/>
        <v>1</v>
      </c>
      <c r="K100" s="100">
        <f t="shared" si="29"/>
        <v>1</v>
      </c>
      <c r="L100" s="58">
        <f t="shared" si="29"/>
        <v>1</v>
      </c>
      <c r="M100" s="58">
        <f t="shared" si="29"/>
        <v>1</v>
      </c>
      <c r="N100" s="58">
        <f t="shared" si="29"/>
        <v>1</v>
      </c>
      <c r="O100" s="58"/>
      <c r="P100" s="58"/>
      <c r="Q100" s="58"/>
    </row>
    <row r="101" spans="1:17" ht="43.5" customHeight="1" x14ac:dyDescent="0.25">
      <c r="A101" s="94" t="s">
        <v>600</v>
      </c>
      <c r="B101" s="58">
        <v>1123201</v>
      </c>
      <c r="C101" s="94" t="s">
        <v>486</v>
      </c>
      <c r="D101" s="92">
        <v>43</v>
      </c>
      <c r="E101" s="100">
        <f>IF($D101*$E$4&lt;21.5,21,IF($D101*$E$4&gt;=21.5,22,0))</f>
        <v>22</v>
      </c>
      <c r="F101" s="58">
        <f t="shared" si="20"/>
        <v>43</v>
      </c>
      <c r="G101" s="58">
        <f t="shared" si="21"/>
        <v>43</v>
      </c>
      <c r="H101" s="58">
        <f t="shared" si="22"/>
        <v>43</v>
      </c>
      <c r="I101" s="58">
        <f t="shared" si="23"/>
        <v>43</v>
      </c>
      <c r="J101" s="58">
        <f t="shared" si="24"/>
        <v>43</v>
      </c>
      <c r="K101" s="100">
        <f>IF(AND($D101&gt;=35,$D101&lt;45),4,0)</f>
        <v>4</v>
      </c>
      <c r="L101" s="58">
        <f>IF(AND($D101&gt;=35,$D101&lt;45),4,0)</f>
        <v>4</v>
      </c>
      <c r="M101" s="58">
        <f>IF(AND($D101&gt;=35,$D101&lt;45),4,0)</f>
        <v>4</v>
      </c>
      <c r="N101" s="58">
        <f>IF(AND($D101&gt;=35,$D101&lt;45),4,0)</f>
        <v>4</v>
      </c>
      <c r="O101" s="58"/>
      <c r="P101" s="58"/>
      <c r="Q101" s="58"/>
    </row>
    <row r="102" spans="1:17" ht="43.5" customHeight="1" x14ac:dyDescent="0.25">
      <c r="A102" s="94" t="s">
        <v>600</v>
      </c>
      <c r="B102" s="58">
        <v>1123202</v>
      </c>
      <c r="C102" s="94" t="s">
        <v>487</v>
      </c>
      <c r="D102" s="92">
        <v>11</v>
      </c>
      <c r="E102" s="100">
        <f>IF($D102*$E$4&lt;3.5,3,IF($D102*$E$4&lt;4.5,4,IF($D102*$E$4&gt;=4.5,5,0)))</f>
        <v>5</v>
      </c>
      <c r="F102" s="58">
        <f t="shared" si="20"/>
        <v>11</v>
      </c>
      <c r="G102" s="58">
        <f t="shared" si="21"/>
        <v>11</v>
      </c>
      <c r="H102" s="58">
        <f t="shared" si="22"/>
        <v>11</v>
      </c>
      <c r="I102" s="58">
        <f t="shared" si="23"/>
        <v>11</v>
      </c>
      <c r="J102" s="58">
        <f t="shared" si="24"/>
        <v>11</v>
      </c>
      <c r="K102" s="100">
        <f>IF(AND($D102&gt;=0,$D102&lt;15),1,0)</f>
        <v>1</v>
      </c>
      <c r="L102" s="58">
        <f>IF(AND($D102&gt;=0,$D102&lt;15),1,0)</f>
        <v>1</v>
      </c>
      <c r="M102" s="58">
        <f>IF(AND($D102&gt;=0,$D102&lt;15),1,0)</f>
        <v>1</v>
      </c>
      <c r="N102" s="58">
        <f>IF(AND($D102&gt;=0,$D102&lt;15),1,0)</f>
        <v>1</v>
      </c>
      <c r="O102" s="58"/>
      <c r="P102" s="58"/>
      <c r="Q102" s="58"/>
    </row>
    <row r="103" spans="1:17" ht="43.5" customHeight="1" x14ac:dyDescent="0.25">
      <c r="A103" s="94" t="s">
        <v>601</v>
      </c>
      <c r="B103" s="58">
        <v>11233</v>
      </c>
      <c r="C103" s="94" t="s">
        <v>488</v>
      </c>
      <c r="D103" s="92">
        <v>52.7</v>
      </c>
      <c r="E103" s="100">
        <f>IF($D103*$E$4&lt;26.5,26,IF($D103*$E$4&gt;=26.5,27,0))</f>
        <v>26</v>
      </c>
      <c r="F103" s="58">
        <f t="shared" si="20"/>
        <v>53</v>
      </c>
      <c r="G103" s="58">
        <f t="shared" si="21"/>
        <v>53</v>
      </c>
      <c r="H103" s="58">
        <f t="shared" si="22"/>
        <v>53</v>
      </c>
      <c r="I103" s="58">
        <f t="shared" si="23"/>
        <v>53</v>
      </c>
      <c r="J103" s="58">
        <f t="shared" si="24"/>
        <v>53</v>
      </c>
      <c r="K103" s="100">
        <f>IF(AND($D103&gt;=85,$D103&lt;95),9,0)</f>
        <v>0</v>
      </c>
      <c r="L103" s="58">
        <f>IF(AND($D103&gt;=85,$D103&lt;95),9,0)</f>
        <v>0</v>
      </c>
      <c r="M103" s="58">
        <f>IF(AND($D103&gt;=85,$D103&lt;95),9,0)</f>
        <v>0</v>
      </c>
      <c r="N103" s="58">
        <f>IF(AND($D103&gt;=85,$D103&lt;95),9,0)</f>
        <v>0</v>
      </c>
      <c r="O103" s="58"/>
      <c r="P103" s="58"/>
      <c r="Q103" s="58"/>
    </row>
    <row r="104" spans="1:17" ht="43.5" customHeight="1" x14ac:dyDescent="0.25">
      <c r="A104" s="94" t="s">
        <v>602</v>
      </c>
      <c r="B104" s="58">
        <v>11243</v>
      </c>
      <c r="C104" s="94" t="s">
        <v>203</v>
      </c>
      <c r="D104" s="92">
        <v>2</v>
      </c>
      <c r="E104" s="100">
        <f>IF($D104*$E$4&lt;1.5,1,IF($D104*$E$4&gt;=1.5,2,0))</f>
        <v>1</v>
      </c>
      <c r="F104" s="58">
        <f t="shared" si="20"/>
        <v>2</v>
      </c>
      <c r="G104" s="58">
        <f t="shared" si="21"/>
        <v>2</v>
      </c>
      <c r="H104" s="58">
        <f t="shared" si="22"/>
        <v>2</v>
      </c>
      <c r="I104" s="58">
        <f t="shared" si="23"/>
        <v>2</v>
      </c>
      <c r="J104" s="58">
        <f t="shared" si="24"/>
        <v>2</v>
      </c>
      <c r="K104" s="100">
        <f t="shared" ref="K104:N105" si="30">IF(AND($D104&gt;=0,$D104&lt;15),1,0)</f>
        <v>1</v>
      </c>
      <c r="L104" s="58">
        <f t="shared" si="30"/>
        <v>1</v>
      </c>
      <c r="M104" s="58">
        <f t="shared" si="30"/>
        <v>1</v>
      </c>
      <c r="N104" s="58">
        <f t="shared" si="30"/>
        <v>1</v>
      </c>
      <c r="O104" s="58"/>
      <c r="P104" s="58"/>
      <c r="Q104" s="58"/>
    </row>
    <row r="105" spans="1:17" ht="43.5" customHeight="1" x14ac:dyDescent="0.25">
      <c r="A105" s="94" t="s">
        <v>603</v>
      </c>
      <c r="B105" s="58">
        <v>11244</v>
      </c>
      <c r="C105" s="94" t="s">
        <v>489</v>
      </c>
      <c r="D105" s="92">
        <v>2</v>
      </c>
      <c r="E105" s="100">
        <f>IF($D105*$E$4&lt;1.5,1,IF($D105*$E$4&gt;=1.5,2,0))</f>
        <v>1</v>
      </c>
      <c r="F105" s="58">
        <f t="shared" si="20"/>
        <v>2</v>
      </c>
      <c r="G105" s="58">
        <f t="shared" si="21"/>
        <v>2</v>
      </c>
      <c r="H105" s="58">
        <f t="shared" si="22"/>
        <v>2</v>
      </c>
      <c r="I105" s="58">
        <f t="shared" si="23"/>
        <v>2</v>
      </c>
      <c r="J105" s="58">
        <f t="shared" si="24"/>
        <v>2</v>
      </c>
      <c r="K105" s="100">
        <f t="shared" si="30"/>
        <v>1</v>
      </c>
      <c r="L105" s="58">
        <f t="shared" si="30"/>
        <v>1</v>
      </c>
      <c r="M105" s="58">
        <f t="shared" si="30"/>
        <v>1</v>
      </c>
      <c r="N105" s="58">
        <f t="shared" si="30"/>
        <v>1</v>
      </c>
      <c r="O105" s="58"/>
      <c r="P105" s="58"/>
      <c r="Q105" s="58"/>
    </row>
    <row r="106" spans="1:17" ht="43.5" customHeight="1" x14ac:dyDescent="0.25">
      <c r="A106" s="94" t="s">
        <v>604</v>
      </c>
      <c r="B106" s="58">
        <v>11249</v>
      </c>
      <c r="C106" s="94" t="s">
        <v>490</v>
      </c>
      <c r="D106" s="92">
        <v>15.5</v>
      </c>
      <c r="E106" s="100">
        <f>IF($D106*$E$4&lt;7.5,7,IF($D106*$E$4&gt;=7.5,8,0))</f>
        <v>8</v>
      </c>
      <c r="F106" s="58">
        <f t="shared" si="20"/>
        <v>16</v>
      </c>
      <c r="G106" s="58">
        <f t="shared" si="21"/>
        <v>16</v>
      </c>
      <c r="H106" s="58">
        <f t="shared" si="22"/>
        <v>16</v>
      </c>
      <c r="I106" s="58">
        <f t="shared" si="23"/>
        <v>16</v>
      </c>
      <c r="J106" s="58">
        <f t="shared" si="24"/>
        <v>16</v>
      </c>
      <c r="K106" s="100">
        <f t="shared" ref="K106:N108" si="31">IF(AND($D106&gt;=15,$D106&lt;25),2,0)</f>
        <v>2</v>
      </c>
      <c r="L106" s="58">
        <f t="shared" si="31"/>
        <v>2</v>
      </c>
      <c r="M106" s="58">
        <f t="shared" si="31"/>
        <v>2</v>
      </c>
      <c r="N106" s="58">
        <f t="shared" si="31"/>
        <v>2</v>
      </c>
      <c r="O106" s="58"/>
      <c r="P106" s="58"/>
      <c r="Q106" s="58"/>
    </row>
    <row r="107" spans="1:17" ht="43.5" customHeight="1" x14ac:dyDescent="0.25">
      <c r="A107" s="94" t="s">
        <v>604</v>
      </c>
      <c r="B107" s="58">
        <v>1124901</v>
      </c>
      <c r="C107" s="94" t="s">
        <v>239</v>
      </c>
      <c r="D107" s="92">
        <v>18.600000000000001</v>
      </c>
      <c r="E107" s="100">
        <f>IF($D107*$E$4&lt;8.5,8,IF($D107*$E$4&gt;=8.5,9,IF($D107*$E$4&gt;=9.5,10,0)))</f>
        <v>9</v>
      </c>
      <c r="F107" s="58">
        <f t="shared" si="20"/>
        <v>19</v>
      </c>
      <c r="G107" s="58">
        <f t="shared" si="21"/>
        <v>19</v>
      </c>
      <c r="H107" s="58">
        <f t="shared" si="22"/>
        <v>19</v>
      </c>
      <c r="I107" s="58">
        <f t="shared" si="23"/>
        <v>19</v>
      </c>
      <c r="J107" s="58">
        <f t="shared" si="24"/>
        <v>19</v>
      </c>
      <c r="K107" s="100">
        <f t="shared" si="31"/>
        <v>2</v>
      </c>
      <c r="L107" s="58">
        <f t="shared" si="31"/>
        <v>2</v>
      </c>
      <c r="M107" s="58">
        <f t="shared" si="31"/>
        <v>2</v>
      </c>
      <c r="N107" s="58">
        <f t="shared" si="31"/>
        <v>2</v>
      </c>
      <c r="O107" s="58"/>
      <c r="P107" s="58"/>
      <c r="Q107" s="58"/>
    </row>
    <row r="108" spans="1:17" ht="43.5" customHeight="1" x14ac:dyDescent="0.25">
      <c r="A108" s="94" t="s">
        <v>604</v>
      </c>
      <c r="B108" s="58">
        <v>1124902</v>
      </c>
      <c r="C108" s="94" t="s">
        <v>241</v>
      </c>
      <c r="D108" s="92">
        <v>20.100000000000001</v>
      </c>
      <c r="E108" s="100">
        <f>IF($D108*$E$4&lt;9.5,9,IF($D108*$E$4&gt;=9.5,10,0))</f>
        <v>10</v>
      </c>
      <c r="F108" s="58">
        <f t="shared" si="20"/>
        <v>20</v>
      </c>
      <c r="G108" s="58">
        <f t="shared" si="21"/>
        <v>20</v>
      </c>
      <c r="H108" s="58">
        <f t="shared" si="22"/>
        <v>20</v>
      </c>
      <c r="I108" s="58">
        <f t="shared" si="23"/>
        <v>20</v>
      </c>
      <c r="J108" s="58">
        <f t="shared" si="24"/>
        <v>20</v>
      </c>
      <c r="K108" s="100">
        <f t="shared" si="31"/>
        <v>2</v>
      </c>
      <c r="L108" s="58">
        <f t="shared" si="31"/>
        <v>2</v>
      </c>
      <c r="M108" s="58">
        <f t="shared" si="31"/>
        <v>2</v>
      </c>
      <c r="N108" s="58">
        <f t="shared" si="31"/>
        <v>2</v>
      </c>
      <c r="O108" s="58"/>
      <c r="P108" s="58"/>
      <c r="Q108" s="58"/>
    </row>
    <row r="109" spans="1:17" ht="43.5" customHeight="1" x14ac:dyDescent="0.25">
      <c r="A109" s="94" t="s">
        <v>604</v>
      </c>
      <c r="B109" s="58">
        <v>1124903</v>
      </c>
      <c r="C109" s="94" t="s">
        <v>243</v>
      </c>
      <c r="D109" s="92">
        <v>8</v>
      </c>
      <c r="E109" s="100">
        <f>IF($D109*$E$4&lt;3.5,3,IF($D109*$E$4&lt;4.5,4,IF($D109*$E$4&gt;=4.5,5,0)))</f>
        <v>4</v>
      </c>
      <c r="F109" s="58">
        <f t="shared" si="20"/>
        <v>8</v>
      </c>
      <c r="G109" s="58">
        <f t="shared" si="21"/>
        <v>8</v>
      </c>
      <c r="H109" s="58">
        <f t="shared" si="22"/>
        <v>8</v>
      </c>
      <c r="I109" s="58">
        <f t="shared" si="23"/>
        <v>8</v>
      </c>
      <c r="J109" s="58">
        <f t="shared" si="24"/>
        <v>8</v>
      </c>
      <c r="K109" s="100">
        <f t="shared" ref="K109:N128" si="32">IF(AND($D109&gt;=0,$D109&lt;15),1,0)</f>
        <v>1</v>
      </c>
      <c r="L109" s="58">
        <f t="shared" si="32"/>
        <v>1</v>
      </c>
      <c r="M109" s="58">
        <f t="shared" si="32"/>
        <v>1</v>
      </c>
      <c r="N109" s="58">
        <f t="shared" si="32"/>
        <v>1</v>
      </c>
      <c r="O109" s="58"/>
      <c r="P109" s="58"/>
      <c r="Q109" s="58"/>
    </row>
    <row r="110" spans="1:17" ht="43.5" customHeight="1" x14ac:dyDescent="0.25">
      <c r="A110" s="94" t="s">
        <v>604</v>
      </c>
      <c r="B110" s="58">
        <v>1124914</v>
      </c>
      <c r="C110" s="94" t="s">
        <v>245</v>
      </c>
      <c r="D110" s="92">
        <v>8.25</v>
      </c>
      <c r="E110" s="100">
        <f>IF($D110*$E$4&lt;3.5,3,IF($D110*$E$4&lt;4.5,4,IF($D110*$E$4&gt;=4.5,5,0)))</f>
        <v>4</v>
      </c>
      <c r="F110" s="58">
        <f t="shared" si="20"/>
        <v>8</v>
      </c>
      <c r="G110" s="58">
        <f t="shared" si="21"/>
        <v>8</v>
      </c>
      <c r="H110" s="58">
        <f t="shared" si="22"/>
        <v>8</v>
      </c>
      <c r="I110" s="58">
        <f t="shared" si="23"/>
        <v>8</v>
      </c>
      <c r="J110" s="58">
        <f t="shared" si="24"/>
        <v>8</v>
      </c>
      <c r="K110" s="100">
        <f t="shared" si="32"/>
        <v>1</v>
      </c>
      <c r="L110" s="58">
        <f t="shared" si="32"/>
        <v>1</v>
      </c>
      <c r="M110" s="58">
        <f t="shared" si="32"/>
        <v>1</v>
      </c>
      <c r="N110" s="58">
        <f t="shared" si="32"/>
        <v>1</v>
      </c>
      <c r="O110" s="58"/>
      <c r="P110" s="58"/>
      <c r="Q110" s="58"/>
    </row>
    <row r="111" spans="1:17" ht="43.5" customHeight="1" x14ac:dyDescent="0.25">
      <c r="A111" s="94" t="s">
        <v>605</v>
      </c>
      <c r="B111" s="58">
        <v>11256</v>
      </c>
      <c r="C111" s="94" t="s">
        <v>118</v>
      </c>
      <c r="D111" s="92">
        <v>7.5</v>
      </c>
      <c r="E111" s="100">
        <f>IF($D111*$E$4&lt;3.5,3,IF($D111*$E$4&lt;4.5,4,IF($D111*$E$4&gt;=4.5,5,0)))</f>
        <v>4</v>
      </c>
      <c r="F111" s="58">
        <f t="shared" si="20"/>
        <v>8</v>
      </c>
      <c r="G111" s="58">
        <f t="shared" si="21"/>
        <v>8</v>
      </c>
      <c r="H111" s="58">
        <f t="shared" si="22"/>
        <v>8</v>
      </c>
      <c r="I111" s="58">
        <f t="shared" si="23"/>
        <v>8</v>
      </c>
      <c r="J111" s="58">
        <f t="shared" si="24"/>
        <v>8</v>
      </c>
      <c r="K111" s="100">
        <f t="shared" si="32"/>
        <v>1</v>
      </c>
      <c r="L111" s="58">
        <f t="shared" si="32"/>
        <v>1</v>
      </c>
      <c r="M111" s="58">
        <f t="shared" si="32"/>
        <v>1</v>
      </c>
      <c r="N111" s="58">
        <f t="shared" si="32"/>
        <v>1</v>
      </c>
      <c r="O111" s="58"/>
      <c r="P111" s="58"/>
      <c r="Q111" s="58"/>
    </row>
    <row r="112" spans="1:17" ht="43.5" customHeight="1" x14ac:dyDescent="0.25">
      <c r="A112" s="94" t="s">
        <v>606</v>
      </c>
      <c r="B112" s="58">
        <v>113</v>
      </c>
      <c r="C112" s="94" t="s">
        <v>206</v>
      </c>
      <c r="D112" s="92">
        <v>1</v>
      </c>
      <c r="E112" s="100">
        <f>IF($D112*$E$4&lt;1.5,1,IF($D112*$E$4&gt;=1.5,2,0))</f>
        <v>1</v>
      </c>
      <c r="F112" s="58">
        <f t="shared" si="20"/>
        <v>1</v>
      </c>
      <c r="G112" s="58">
        <f t="shared" si="21"/>
        <v>1</v>
      </c>
      <c r="H112" s="58">
        <f t="shared" si="22"/>
        <v>1</v>
      </c>
      <c r="I112" s="58">
        <f t="shared" si="23"/>
        <v>1</v>
      </c>
      <c r="J112" s="58">
        <f t="shared" si="24"/>
        <v>1</v>
      </c>
      <c r="K112" s="100">
        <f t="shared" si="32"/>
        <v>1</v>
      </c>
      <c r="L112" s="58">
        <f t="shared" si="32"/>
        <v>1</v>
      </c>
      <c r="M112" s="58">
        <f t="shared" si="32"/>
        <v>1</v>
      </c>
      <c r="N112" s="58">
        <f t="shared" si="32"/>
        <v>1</v>
      </c>
      <c r="O112" s="58"/>
      <c r="P112" s="58"/>
      <c r="Q112" s="58"/>
    </row>
    <row r="113" spans="1:17" ht="43.5" customHeight="1" x14ac:dyDescent="0.25">
      <c r="A113" s="94" t="s">
        <v>607</v>
      </c>
      <c r="B113" s="58">
        <v>1135</v>
      </c>
      <c r="C113" s="94" t="s">
        <v>491</v>
      </c>
      <c r="D113" s="92">
        <v>6</v>
      </c>
      <c r="E113" s="100">
        <f>IF($D113*$E$4&lt;2.5,2,IF($D113*$E$4&gt;=2.5,3,0))</f>
        <v>3</v>
      </c>
      <c r="F113" s="58">
        <f t="shared" si="20"/>
        <v>6</v>
      </c>
      <c r="G113" s="58">
        <f t="shared" si="21"/>
        <v>6</v>
      </c>
      <c r="H113" s="58">
        <f t="shared" si="22"/>
        <v>6</v>
      </c>
      <c r="I113" s="58">
        <f t="shared" si="23"/>
        <v>6</v>
      </c>
      <c r="J113" s="58">
        <f t="shared" si="24"/>
        <v>6</v>
      </c>
      <c r="K113" s="100">
        <f t="shared" si="32"/>
        <v>1</v>
      </c>
      <c r="L113" s="58">
        <f t="shared" si="32"/>
        <v>1</v>
      </c>
      <c r="M113" s="58">
        <f t="shared" si="32"/>
        <v>1</v>
      </c>
      <c r="N113" s="58">
        <f t="shared" si="32"/>
        <v>1</v>
      </c>
      <c r="O113" s="58"/>
      <c r="P113" s="58"/>
      <c r="Q113" s="58"/>
    </row>
    <row r="114" spans="1:17" ht="43.5" customHeight="1" x14ac:dyDescent="0.25">
      <c r="A114" s="94" t="s">
        <v>607</v>
      </c>
      <c r="B114" s="58">
        <v>113501</v>
      </c>
      <c r="C114" s="94" t="s">
        <v>392</v>
      </c>
      <c r="D114" s="92">
        <v>6.5</v>
      </c>
      <c r="E114" s="100">
        <f>IF($D114*$E$4&lt;2.5,2,IF($D114*$E$4&gt;=2.5,3,0))</f>
        <v>3</v>
      </c>
      <c r="F114" s="58">
        <f t="shared" si="20"/>
        <v>7</v>
      </c>
      <c r="G114" s="58">
        <f t="shared" si="21"/>
        <v>7</v>
      </c>
      <c r="H114" s="58">
        <f t="shared" si="22"/>
        <v>7</v>
      </c>
      <c r="I114" s="58">
        <f t="shared" si="23"/>
        <v>7</v>
      </c>
      <c r="J114" s="58">
        <f t="shared" si="24"/>
        <v>7</v>
      </c>
      <c r="K114" s="100">
        <f t="shared" si="32"/>
        <v>1</v>
      </c>
      <c r="L114" s="58">
        <f t="shared" si="32"/>
        <v>1</v>
      </c>
      <c r="M114" s="58">
        <f t="shared" si="32"/>
        <v>1</v>
      </c>
      <c r="N114" s="58">
        <f t="shared" si="32"/>
        <v>1</v>
      </c>
      <c r="O114" s="58"/>
      <c r="P114" s="58"/>
      <c r="Q114" s="58"/>
    </row>
    <row r="115" spans="1:17" ht="43.5" customHeight="1" x14ac:dyDescent="0.25">
      <c r="A115" s="94" t="s">
        <v>607</v>
      </c>
      <c r="B115" s="58">
        <v>113502</v>
      </c>
      <c r="C115" s="94" t="s">
        <v>251</v>
      </c>
      <c r="D115" s="92">
        <v>2</v>
      </c>
      <c r="E115" s="100">
        <f>IF($D115*$E$4&lt;1.5,1,IF($D115*$E$4&gt;=1.5,2,0))</f>
        <v>1</v>
      </c>
      <c r="F115" s="58">
        <f t="shared" si="20"/>
        <v>2</v>
      </c>
      <c r="G115" s="58">
        <f t="shared" si="21"/>
        <v>2</v>
      </c>
      <c r="H115" s="58">
        <f t="shared" si="22"/>
        <v>2</v>
      </c>
      <c r="I115" s="58">
        <f t="shared" si="23"/>
        <v>2</v>
      </c>
      <c r="J115" s="58">
        <f t="shared" si="24"/>
        <v>2</v>
      </c>
      <c r="K115" s="100">
        <f t="shared" si="32"/>
        <v>1</v>
      </c>
      <c r="L115" s="58">
        <f t="shared" si="32"/>
        <v>1</v>
      </c>
      <c r="M115" s="58">
        <f t="shared" si="32"/>
        <v>1</v>
      </c>
      <c r="N115" s="58">
        <f t="shared" si="32"/>
        <v>1</v>
      </c>
      <c r="O115" s="58"/>
      <c r="P115" s="58"/>
      <c r="Q115" s="58"/>
    </row>
    <row r="116" spans="1:17" ht="43.5" customHeight="1" x14ac:dyDescent="0.25">
      <c r="A116" s="94" t="s">
        <v>607</v>
      </c>
      <c r="B116" s="58">
        <v>113503</v>
      </c>
      <c r="C116" s="94" t="s">
        <v>492</v>
      </c>
      <c r="D116" s="92">
        <v>4.3</v>
      </c>
      <c r="E116" s="100">
        <f>IF($D116*$E$4&lt;2.5,2,IF($D116*$E$4&gt;=2.5,3,0))</f>
        <v>2</v>
      </c>
      <c r="F116" s="58">
        <f t="shared" si="20"/>
        <v>4</v>
      </c>
      <c r="G116" s="58">
        <f t="shared" si="21"/>
        <v>4</v>
      </c>
      <c r="H116" s="58">
        <f t="shared" si="22"/>
        <v>4</v>
      </c>
      <c r="I116" s="58">
        <f t="shared" si="23"/>
        <v>4</v>
      </c>
      <c r="J116" s="58">
        <f t="shared" si="24"/>
        <v>4</v>
      </c>
      <c r="K116" s="100">
        <f t="shared" si="32"/>
        <v>1</v>
      </c>
      <c r="L116" s="58">
        <f t="shared" si="32"/>
        <v>1</v>
      </c>
      <c r="M116" s="58">
        <f t="shared" si="32"/>
        <v>1</v>
      </c>
      <c r="N116" s="58">
        <f t="shared" si="32"/>
        <v>1</v>
      </c>
      <c r="O116" s="58"/>
      <c r="P116" s="58"/>
      <c r="Q116" s="58"/>
    </row>
    <row r="117" spans="1:17" ht="43.5" customHeight="1" x14ac:dyDescent="0.25">
      <c r="A117" s="94" t="s">
        <v>608</v>
      </c>
      <c r="B117" s="58">
        <v>114</v>
      </c>
      <c r="C117" s="94" t="s">
        <v>493</v>
      </c>
      <c r="D117" s="92">
        <v>1.25</v>
      </c>
      <c r="E117" s="100">
        <f>IF($D117*$E$4&lt;1.5,1,IF($D117*$E$4&gt;=1.5,2,0))</f>
        <v>1</v>
      </c>
      <c r="F117" s="58">
        <f t="shared" si="20"/>
        <v>1</v>
      </c>
      <c r="G117" s="58">
        <f t="shared" si="21"/>
        <v>1</v>
      </c>
      <c r="H117" s="58">
        <f t="shared" si="22"/>
        <v>1</v>
      </c>
      <c r="I117" s="58">
        <f t="shared" si="23"/>
        <v>1</v>
      </c>
      <c r="J117" s="58">
        <f t="shared" si="24"/>
        <v>1</v>
      </c>
      <c r="K117" s="100">
        <f t="shared" si="32"/>
        <v>1</v>
      </c>
      <c r="L117" s="58">
        <f t="shared" si="32"/>
        <v>1</v>
      </c>
      <c r="M117" s="58">
        <f t="shared" si="32"/>
        <v>1</v>
      </c>
      <c r="N117" s="58">
        <f t="shared" si="32"/>
        <v>1</v>
      </c>
      <c r="O117" s="58"/>
      <c r="P117" s="58"/>
      <c r="Q117" s="58"/>
    </row>
    <row r="118" spans="1:17" ht="43.5" customHeight="1" x14ac:dyDescent="0.25">
      <c r="A118" s="94" t="s">
        <v>609</v>
      </c>
      <c r="B118" s="58">
        <v>11415</v>
      </c>
      <c r="C118" s="94" t="s">
        <v>494</v>
      </c>
      <c r="D118" s="92">
        <v>1</v>
      </c>
      <c r="E118" s="100">
        <f>IF($D118*$E$4&lt;1.5,1,IF($D118*$E$4&gt;=1.5,2,0))</f>
        <v>1</v>
      </c>
      <c r="F118" s="58">
        <f t="shared" si="20"/>
        <v>1</v>
      </c>
      <c r="G118" s="58">
        <f t="shared" si="21"/>
        <v>1</v>
      </c>
      <c r="H118" s="58">
        <f t="shared" si="22"/>
        <v>1</v>
      </c>
      <c r="I118" s="58">
        <f t="shared" si="23"/>
        <v>1</v>
      </c>
      <c r="J118" s="58">
        <f t="shared" si="24"/>
        <v>1</v>
      </c>
      <c r="K118" s="100">
        <f t="shared" si="32"/>
        <v>1</v>
      </c>
      <c r="L118" s="58">
        <f t="shared" si="32"/>
        <v>1</v>
      </c>
      <c r="M118" s="58">
        <f t="shared" si="32"/>
        <v>1</v>
      </c>
      <c r="N118" s="58">
        <f t="shared" si="32"/>
        <v>1</v>
      </c>
      <c r="O118" s="58"/>
      <c r="P118" s="58"/>
      <c r="Q118" s="58"/>
    </row>
    <row r="119" spans="1:17" ht="43.5" customHeight="1" x14ac:dyDescent="0.25">
      <c r="A119" s="94" t="s">
        <v>609</v>
      </c>
      <c r="B119" s="58">
        <v>114151</v>
      </c>
      <c r="C119" s="94" t="s">
        <v>495</v>
      </c>
      <c r="D119" s="92">
        <v>4</v>
      </c>
      <c r="E119" s="100">
        <f>IF($D119*$E$4&lt;2.5,2,IF($D119*$E$4&gt;=2.5,3,0))</f>
        <v>2</v>
      </c>
      <c r="F119" s="58">
        <f t="shared" si="20"/>
        <v>4</v>
      </c>
      <c r="G119" s="58">
        <f t="shared" si="21"/>
        <v>4</v>
      </c>
      <c r="H119" s="58">
        <f t="shared" si="22"/>
        <v>4</v>
      </c>
      <c r="I119" s="58">
        <f t="shared" si="23"/>
        <v>4</v>
      </c>
      <c r="J119" s="58">
        <f t="shared" si="24"/>
        <v>4</v>
      </c>
      <c r="K119" s="100">
        <f t="shared" si="32"/>
        <v>1</v>
      </c>
      <c r="L119" s="58">
        <f t="shared" si="32"/>
        <v>1</v>
      </c>
      <c r="M119" s="58">
        <f t="shared" si="32"/>
        <v>1</v>
      </c>
      <c r="N119" s="58">
        <f t="shared" si="32"/>
        <v>1</v>
      </c>
      <c r="O119" s="58"/>
      <c r="P119" s="58"/>
      <c r="Q119" s="58"/>
    </row>
    <row r="120" spans="1:17" ht="43.5" customHeight="1" x14ac:dyDescent="0.25">
      <c r="A120" s="94" t="s">
        <v>609</v>
      </c>
      <c r="B120" s="58">
        <v>114152</v>
      </c>
      <c r="C120" s="94" t="s">
        <v>496</v>
      </c>
      <c r="D120" s="92">
        <v>6</v>
      </c>
      <c r="E120" s="100">
        <f>IF($D120*$E$4&lt;2.5,2,IF($D120*$E$4&gt;=2.5,3,0))</f>
        <v>3</v>
      </c>
      <c r="F120" s="58">
        <f t="shared" si="20"/>
        <v>6</v>
      </c>
      <c r="G120" s="58">
        <f t="shared" si="21"/>
        <v>6</v>
      </c>
      <c r="H120" s="58">
        <f t="shared" si="22"/>
        <v>6</v>
      </c>
      <c r="I120" s="58">
        <f t="shared" si="23"/>
        <v>6</v>
      </c>
      <c r="J120" s="58">
        <f t="shared" si="24"/>
        <v>6</v>
      </c>
      <c r="K120" s="100">
        <f t="shared" si="32"/>
        <v>1</v>
      </c>
      <c r="L120" s="58">
        <f t="shared" si="32"/>
        <v>1</v>
      </c>
      <c r="M120" s="58">
        <f t="shared" si="32"/>
        <v>1</v>
      </c>
      <c r="N120" s="58">
        <f t="shared" si="32"/>
        <v>1</v>
      </c>
      <c r="O120" s="58"/>
      <c r="P120" s="58"/>
      <c r="Q120" s="58"/>
    </row>
    <row r="121" spans="1:17" ht="43.5" customHeight="1" x14ac:dyDescent="0.25">
      <c r="A121" s="94" t="s">
        <v>610</v>
      </c>
      <c r="B121" s="58">
        <v>114157</v>
      </c>
      <c r="C121" s="94" t="s">
        <v>497</v>
      </c>
      <c r="D121" s="92">
        <v>1.5</v>
      </c>
      <c r="E121" s="100">
        <f>IF($D121*$E$4&lt;1.5,1,IF($D121*$E$4&gt;=1.5,2,0))</f>
        <v>1</v>
      </c>
      <c r="F121" s="58">
        <f t="shared" si="20"/>
        <v>2</v>
      </c>
      <c r="G121" s="58">
        <f t="shared" si="21"/>
        <v>2</v>
      </c>
      <c r="H121" s="58">
        <f t="shared" si="22"/>
        <v>2</v>
      </c>
      <c r="I121" s="58">
        <f t="shared" si="23"/>
        <v>2</v>
      </c>
      <c r="J121" s="58">
        <f t="shared" si="24"/>
        <v>2</v>
      </c>
      <c r="K121" s="100">
        <f t="shared" si="32"/>
        <v>1</v>
      </c>
      <c r="L121" s="58">
        <f t="shared" si="32"/>
        <v>1</v>
      </c>
      <c r="M121" s="58">
        <f t="shared" si="32"/>
        <v>1</v>
      </c>
      <c r="N121" s="58">
        <f t="shared" si="32"/>
        <v>1</v>
      </c>
      <c r="O121" s="58"/>
      <c r="P121" s="58"/>
      <c r="Q121" s="58"/>
    </row>
    <row r="122" spans="1:17" ht="43.5" customHeight="1" x14ac:dyDescent="0.25">
      <c r="A122" s="94" t="s">
        <v>610</v>
      </c>
      <c r="B122" s="58">
        <v>11415701</v>
      </c>
      <c r="C122" s="94" t="s">
        <v>498</v>
      </c>
      <c r="D122" s="107">
        <v>11</v>
      </c>
      <c r="E122" s="100">
        <f>IF($D122*$E$4&lt;3.5,3,IF($D122*$E$4&lt;4.5,4,IF($D122*$E$4&gt;=4.5,5,0)))*6</f>
        <v>30</v>
      </c>
      <c r="F122" s="58">
        <f t="shared" si="20"/>
        <v>11</v>
      </c>
      <c r="G122" s="58">
        <f t="shared" si="21"/>
        <v>11</v>
      </c>
      <c r="H122" s="58">
        <f t="shared" si="22"/>
        <v>11</v>
      </c>
      <c r="I122" s="58">
        <f t="shared" si="23"/>
        <v>11</v>
      </c>
      <c r="J122" s="58">
        <f t="shared" si="24"/>
        <v>11</v>
      </c>
      <c r="K122" s="100">
        <f t="shared" si="32"/>
        <v>1</v>
      </c>
      <c r="L122" s="58">
        <f t="shared" si="32"/>
        <v>1</v>
      </c>
      <c r="M122" s="58">
        <f t="shared" si="32"/>
        <v>1</v>
      </c>
      <c r="N122" s="58">
        <f t="shared" si="32"/>
        <v>1</v>
      </c>
      <c r="O122" s="58"/>
      <c r="P122" s="58"/>
      <c r="Q122" s="58"/>
    </row>
    <row r="123" spans="1:17" ht="43.5" customHeight="1" x14ac:dyDescent="0.25">
      <c r="A123" s="94" t="s">
        <v>610</v>
      </c>
      <c r="B123" s="58">
        <v>11415702</v>
      </c>
      <c r="C123" s="94" t="s">
        <v>499</v>
      </c>
      <c r="D123" s="107">
        <v>8</v>
      </c>
      <c r="E123" s="100">
        <f>IF($D123*$E$4&lt;3.5,3,IF($D123*$E$4&lt;4.5,4,IF($D123*$E$4&gt;=4.5,5,0)))*1.25</f>
        <v>5</v>
      </c>
      <c r="F123" s="58">
        <f t="shared" si="20"/>
        <v>8</v>
      </c>
      <c r="G123" s="58">
        <f t="shared" si="21"/>
        <v>8</v>
      </c>
      <c r="H123" s="58">
        <f t="shared" si="22"/>
        <v>8</v>
      </c>
      <c r="I123" s="58">
        <f t="shared" si="23"/>
        <v>8</v>
      </c>
      <c r="J123" s="58">
        <f t="shared" si="24"/>
        <v>8</v>
      </c>
      <c r="K123" s="100">
        <f t="shared" si="32"/>
        <v>1</v>
      </c>
      <c r="L123" s="58">
        <f t="shared" si="32"/>
        <v>1</v>
      </c>
      <c r="M123" s="58">
        <f t="shared" si="32"/>
        <v>1</v>
      </c>
      <c r="N123" s="58">
        <f t="shared" si="32"/>
        <v>1</v>
      </c>
      <c r="O123" s="58"/>
      <c r="P123" s="58"/>
      <c r="Q123" s="58"/>
    </row>
    <row r="124" spans="1:17" ht="43.5" customHeight="1" x14ac:dyDescent="0.25">
      <c r="A124" s="94" t="s">
        <v>610</v>
      </c>
      <c r="B124" s="58">
        <v>11415703</v>
      </c>
      <c r="C124" s="94" t="s">
        <v>500</v>
      </c>
      <c r="D124" s="92">
        <v>4.5</v>
      </c>
      <c r="E124" s="100">
        <f>IF($D124*$E$4&lt;2.5,2,IF($D124*$E$4&gt;=2.5,3,0))</f>
        <v>2</v>
      </c>
      <c r="F124" s="58">
        <f t="shared" si="20"/>
        <v>5</v>
      </c>
      <c r="G124" s="58">
        <f t="shared" si="21"/>
        <v>5</v>
      </c>
      <c r="H124" s="58">
        <f t="shared" si="22"/>
        <v>5</v>
      </c>
      <c r="I124" s="58">
        <f t="shared" si="23"/>
        <v>5</v>
      </c>
      <c r="J124" s="58">
        <f t="shared" si="24"/>
        <v>5</v>
      </c>
      <c r="K124" s="100">
        <f t="shared" si="32"/>
        <v>1</v>
      </c>
      <c r="L124" s="58">
        <f t="shared" si="32"/>
        <v>1</v>
      </c>
      <c r="M124" s="58">
        <f t="shared" si="32"/>
        <v>1</v>
      </c>
      <c r="N124" s="58">
        <f t="shared" si="32"/>
        <v>1</v>
      </c>
      <c r="O124" s="58"/>
      <c r="P124" s="58"/>
      <c r="Q124" s="58"/>
    </row>
    <row r="125" spans="1:17" ht="43.5" customHeight="1" x14ac:dyDescent="0.25">
      <c r="A125" s="94" t="s">
        <v>610</v>
      </c>
      <c r="B125" s="58">
        <v>11415705</v>
      </c>
      <c r="C125" s="94" t="s">
        <v>501</v>
      </c>
      <c r="D125" s="92">
        <v>1</v>
      </c>
      <c r="E125" s="100">
        <f t="shared" ref="E125:E145" si="33">IF($D125*$E$4&lt;1.5,1,IF($D125*$E$4&gt;=1.5,2,0))</f>
        <v>1</v>
      </c>
      <c r="F125" s="58">
        <f t="shared" si="20"/>
        <v>1</v>
      </c>
      <c r="G125" s="58">
        <f t="shared" si="21"/>
        <v>1</v>
      </c>
      <c r="H125" s="58">
        <f t="shared" si="22"/>
        <v>1</v>
      </c>
      <c r="I125" s="58">
        <f t="shared" si="23"/>
        <v>1</v>
      </c>
      <c r="J125" s="58">
        <f t="shared" si="24"/>
        <v>1</v>
      </c>
      <c r="K125" s="100">
        <f t="shared" si="32"/>
        <v>1</v>
      </c>
      <c r="L125" s="58">
        <f t="shared" si="32"/>
        <v>1</v>
      </c>
      <c r="M125" s="58">
        <f t="shared" si="32"/>
        <v>1</v>
      </c>
      <c r="N125" s="58">
        <f t="shared" si="32"/>
        <v>1</v>
      </c>
      <c r="O125" s="58"/>
      <c r="P125" s="58"/>
      <c r="Q125" s="58"/>
    </row>
    <row r="126" spans="1:17" ht="43.5" customHeight="1" x14ac:dyDescent="0.25">
      <c r="A126" s="94" t="s">
        <v>609</v>
      </c>
      <c r="B126" s="58">
        <v>114159</v>
      </c>
      <c r="C126" s="94" t="s">
        <v>502</v>
      </c>
      <c r="D126" s="92">
        <v>1</v>
      </c>
      <c r="E126" s="100">
        <f t="shared" si="33"/>
        <v>1</v>
      </c>
      <c r="F126" s="58">
        <f t="shared" si="20"/>
        <v>1</v>
      </c>
      <c r="G126" s="58">
        <f t="shared" si="21"/>
        <v>1</v>
      </c>
      <c r="H126" s="58">
        <f t="shared" si="22"/>
        <v>1</v>
      </c>
      <c r="I126" s="58">
        <f t="shared" si="23"/>
        <v>1</v>
      </c>
      <c r="J126" s="58">
        <f t="shared" si="24"/>
        <v>1</v>
      </c>
      <c r="K126" s="100">
        <f t="shared" si="32"/>
        <v>1</v>
      </c>
      <c r="L126" s="58">
        <f t="shared" si="32"/>
        <v>1</v>
      </c>
      <c r="M126" s="58">
        <f t="shared" si="32"/>
        <v>1</v>
      </c>
      <c r="N126" s="58">
        <f t="shared" si="32"/>
        <v>1</v>
      </c>
      <c r="O126" s="58"/>
      <c r="P126" s="58"/>
      <c r="Q126" s="58"/>
    </row>
    <row r="127" spans="1:17" ht="43.5" customHeight="1" x14ac:dyDescent="0.25">
      <c r="A127" s="94" t="s">
        <v>611</v>
      </c>
      <c r="B127" s="58">
        <v>11416</v>
      </c>
      <c r="C127" s="94" t="s">
        <v>503</v>
      </c>
      <c r="D127" s="92">
        <v>1</v>
      </c>
      <c r="E127" s="100">
        <f t="shared" si="33"/>
        <v>1</v>
      </c>
      <c r="F127" s="58">
        <f t="shared" si="20"/>
        <v>1</v>
      </c>
      <c r="G127" s="58">
        <f t="shared" si="21"/>
        <v>1</v>
      </c>
      <c r="H127" s="58">
        <f t="shared" si="22"/>
        <v>1</v>
      </c>
      <c r="I127" s="58">
        <f t="shared" si="23"/>
        <v>1</v>
      </c>
      <c r="J127" s="58">
        <f t="shared" si="24"/>
        <v>1</v>
      </c>
      <c r="K127" s="100">
        <f t="shared" si="32"/>
        <v>1</v>
      </c>
      <c r="L127" s="58">
        <f t="shared" si="32"/>
        <v>1</v>
      </c>
      <c r="M127" s="58">
        <f t="shared" si="32"/>
        <v>1</v>
      </c>
      <c r="N127" s="58">
        <f t="shared" si="32"/>
        <v>1</v>
      </c>
      <c r="O127" s="58"/>
      <c r="P127" s="58"/>
      <c r="Q127" s="58"/>
    </row>
    <row r="128" spans="1:17" ht="43.5" customHeight="1" x14ac:dyDescent="0.25">
      <c r="A128" s="94" t="s">
        <v>612</v>
      </c>
      <c r="B128" s="58">
        <v>11419</v>
      </c>
      <c r="C128" s="94" t="s">
        <v>504</v>
      </c>
      <c r="D128" s="92">
        <v>1</v>
      </c>
      <c r="E128" s="100">
        <f t="shared" si="33"/>
        <v>1</v>
      </c>
      <c r="F128" s="58">
        <f t="shared" si="20"/>
        <v>1</v>
      </c>
      <c r="G128" s="58">
        <f t="shared" si="21"/>
        <v>1</v>
      </c>
      <c r="H128" s="58">
        <f t="shared" si="22"/>
        <v>1</v>
      </c>
      <c r="I128" s="58">
        <f t="shared" si="23"/>
        <v>1</v>
      </c>
      <c r="J128" s="58">
        <f t="shared" si="24"/>
        <v>1</v>
      </c>
      <c r="K128" s="100">
        <f t="shared" si="32"/>
        <v>1</v>
      </c>
      <c r="L128" s="58">
        <f t="shared" si="32"/>
        <v>1</v>
      </c>
      <c r="M128" s="58">
        <f t="shared" si="32"/>
        <v>1</v>
      </c>
      <c r="N128" s="58">
        <f t="shared" si="32"/>
        <v>1</v>
      </c>
      <c r="O128" s="58"/>
      <c r="P128" s="58"/>
      <c r="Q128" s="58"/>
    </row>
    <row r="129" spans="1:17" ht="43.5" customHeight="1" x14ac:dyDescent="0.25">
      <c r="A129" s="94" t="s">
        <v>612</v>
      </c>
      <c r="B129" s="58">
        <v>11419001</v>
      </c>
      <c r="C129" s="94" t="s">
        <v>364</v>
      </c>
      <c r="D129" s="92">
        <v>3.5</v>
      </c>
      <c r="E129" s="100">
        <f t="shared" si="33"/>
        <v>2</v>
      </c>
      <c r="F129" s="58">
        <f t="shared" si="20"/>
        <v>4</v>
      </c>
      <c r="G129" s="58">
        <f t="shared" si="21"/>
        <v>4</v>
      </c>
      <c r="H129" s="58">
        <f t="shared" si="22"/>
        <v>4</v>
      </c>
      <c r="I129" s="58">
        <f t="shared" si="23"/>
        <v>4</v>
      </c>
      <c r="J129" s="58">
        <f t="shared" si="24"/>
        <v>4</v>
      </c>
      <c r="K129" s="100">
        <f t="shared" ref="K129:N148" si="34">IF(AND($D129&gt;=0,$D129&lt;15),1,0)</f>
        <v>1</v>
      </c>
      <c r="L129" s="58">
        <f t="shared" si="34"/>
        <v>1</v>
      </c>
      <c r="M129" s="58">
        <f t="shared" si="34"/>
        <v>1</v>
      </c>
      <c r="N129" s="58">
        <f t="shared" si="34"/>
        <v>1</v>
      </c>
      <c r="O129" s="58"/>
      <c r="P129" s="58"/>
      <c r="Q129" s="58"/>
    </row>
    <row r="130" spans="1:17" ht="43.5" customHeight="1" x14ac:dyDescent="0.25">
      <c r="A130" s="94" t="s">
        <v>612</v>
      </c>
      <c r="B130" s="58">
        <v>11419002</v>
      </c>
      <c r="C130" s="94" t="s">
        <v>505</v>
      </c>
      <c r="D130" s="92">
        <v>2</v>
      </c>
      <c r="E130" s="100">
        <f t="shared" si="33"/>
        <v>1</v>
      </c>
      <c r="F130" s="58">
        <f t="shared" si="20"/>
        <v>2</v>
      </c>
      <c r="G130" s="58">
        <f t="shared" si="21"/>
        <v>2</v>
      </c>
      <c r="H130" s="58">
        <f t="shared" si="22"/>
        <v>2</v>
      </c>
      <c r="I130" s="58">
        <f t="shared" si="23"/>
        <v>2</v>
      </c>
      <c r="J130" s="58">
        <f t="shared" si="24"/>
        <v>2</v>
      </c>
      <c r="K130" s="100">
        <f t="shared" si="34"/>
        <v>1</v>
      </c>
      <c r="L130" s="58">
        <f t="shared" si="34"/>
        <v>1</v>
      </c>
      <c r="M130" s="58">
        <f t="shared" si="34"/>
        <v>1</v>
      </c>
      <c r="N130" s="58">
        <f t="shared" si="34"/>
        <v>1</v>
      </c>
      <c r="O130" s="58"/>
      <c r="P130" s="58"/>
      <c r="Q130" s="58"/>
    </row>
    <row r="131" spans="1:17" ht="43.5" customHeight="1" x14ac:dyDescent="0.25">
      <c r="A131" s="94" t="s">
        <v>612</v>
      </c>
      <c r="B131" s="58">
        <v>11419003</v>
      </c>
      <c r="C131" s="94" t="s">
        <v>506</v>
      </c>
      <c r="D131" s="92">
        <v>2.75</v>
      </c>
      <c r="E131" s="100">
        <f t="shared" si="33"/>
        <v>1</v>
      </c>
      <c r="F131" s="58">
        <f t="shared" si="20"/>
        <v>3</v>
      </c>
      <c r="G131" s="58">
        <f t="shared" si="21"/>
        <v>3</v>
      </c>
      <c r="H131" s="58">
        <f t="shared" si="22"/>
        <v>3</v>
      </c>
      <c r="I131" s="58">
        <f t="shared" si="23"/>
        <v>3</v>
      </c>
      <c r="J131" s="58">
        <f t="shared" si="24"/>
        <v>3</v>
      </c>
      <c r="K131" s="100">
        <f t="shared" si="34"/>
        <v>1</v>
      </c>
      <c r="L131" s="58">
        <f t="shared" si="34"/>
        <v>1</v>
      </c>
      <c r="M131" s="58">
        <f t="shared" si="34"/>
        <v>1</v>
      </c>
      <c r="N131" s="58">
        <f t="shared" si="34"/>
        <v>1</v>
      </c>
      <c r="O131" s="58"/>
      <c r="P131" s="58"/>
      <c r="Q131" s="58"/>
    </row>
    <row r="132" spans="1:17" ht="43.5" customHeight="1" x14ac:dyDescent="0.25">
      <c r="A132" s="94" t="s">
        <v>613</v>
      </c>
      <c r="B132" s="58">
        <v>11430</v>
      </c>
      <c r="C132" s="94" t="s">
        <v>507</v>
      </c>
      <c r="D132" s="92">
        <v>1</v>
      </c>
      <c r="E132" s="100">
        <f t="shared" si="33"/>
        <v>1</v>
      </c>
      <c r="F132" s="58">
        <f t="shared" si="20"/>
        <v>1</v>
      </c>
      <c r="G132" s="58">
        <f t="shared" si="21"/>
        <v>1</v>
      </c>
      <c r="H132" s="58">
        <f t="shared" si="22"/>
        <v>1</v>
      </c>
      <c r="I132" s="58">
        <f t="shared" si="23"/>
        <v>1</v>
      </c>
      <c r="J132" s="58">
        <f t="shared" si="24"/>
        <v>1</v>
      </c>
      <c r="K132" s="100">
        <f t="shared" si="34"/>
        <v>1</v>
      </c>
      <c r="L132" s="58">
        <f t="shared" si="34"/>
        <v>1</v>
      </c>
      <c r="M132" s="58">
        <f t="shared" si="34"/>
        <v>1</v>
      </c>
      <c r="N132" s="58">
        <f t="shared" si="34"/>
        <v>1</v>
      </c>
      <c r="O132" s="58"/>
      <c r="P132" s="58"/>
      <c r="Q132" s="58"/>
    </row>
    <row r="133" spans="1:17" ht="43.5" customHeight="1" x14ac:dyDescent="0.25">
      <c r="A133" s="94" t="s">
        <v>613</v>
      </c>
      <c r="B133" s="58">
        <v>1143001</v>
      </c>
      <c r="C133" s="94" t="s">
        <v>508</v>
      </c>
      <c r="D133" s="92">
        <v>0.55000000000000004</v>
      </c>
      <c r="E133" s="100">
        <f t="shared" si="33"/>
        <v>1</v>
      </c>
      <c r="F133" s="58">
        <f t="shared" si="20"/>
        <v>1</v>
      </c>
      <c r="G133" s="58">
        <f t="shared" si="21"/>
        <v>1</v>
      </c>
      <c r="H133" s="58">
        <f t="shared" si="22"/>
        <v>1</v>
      </c>
      <c r="I133" s="58">
        <f t="shared" si="23"/>
        <v>1</v>
      </c>
      <c r="J133" s="58">
        <f t="shared" si="24"/>
        <v>1</v>
      </c>
      <c r="K133" s="100">
        <f t="shared" si="34"/>
        <v>1</v>
      </c>
      <c r="L133" s="58">
        <f t="shared" si="34"/>
        <v>1</v>
      </c>
      <c r="M133" s="58">
        <f t="shared" si="34"/>
        <v>1</v>
      </c>
      <c r="N133" s="58">
        <f t="shared" si="34"/>
        <v>1</v>
      </c>
      <c r="O133" s="58"/>
      <c r="P133" s="58"/>
      <c r="Q133" s="58"/>
    </row>
    <row r="134" spans="1:17" ht="43.5" customHeight="1" x14ac:dyDescent="0.25">
      <c r="A134" s="94" t="s">
        <v>613</v>
      </c>
      <c r="B134" s="58">
        <v>114300122</v>
      </c>
      <c r="C134" s="94" t="s">
        <v>509</v>
      </c>
      <c r="D134" s="92">
        <v>0.60000000000000009</v>
      </c>
      <c r="E134" s="100">
        <f t="shared" si="33"/>
        <v>1</v>
      </c>
      <c r="F134" s="58">
        <f t="shared" si="20"/>
        <v>1</v>
      </c>
      <c r="G134" s="58">
        <f t="shared" si="21"/>
        <v>1</v>
      </c>
      <c r="H134" s="58">
        <f t="shared" si="22"/>
        <v>1</v>
      </c>
      <c r="I134" s="58">
        <f t="shared" si="23"/>
        <v>1</v>
      </c>
      <c r="J134" s="58">
        <f t="shared" si="24"/>
        <v>1</v>
      </c>
      <c r="K134" s="100">
        <f t="shared" si="34"/>
        <v>1</v>
      </c>
      <c r="L134" s="58">
        <f t="shared" si="34"/>
        <v>1</v>
      </c>
      <c r="M134" s="58">
        <f t="shared" si="34"/>
        <v>1</v>
      </c>
      <c r="N134" s="58">
        <f t="shared" si="34"/>
        <v>1</v>
      </c>
      <c r="O134" s="58"/>
      <c r="P134" s="58"/>
      <c r="Q134" s="58"/>
    </row>
    <row r="135" spans="1:17" ht="43.5" customHeight="1" x14ac:dyDescent="0.25">
      <c r="A135" s="94" t="s">
        <v>613</v>
      </c>
      <c r="B135" s="58">
        <v>114300123</v>
      </c>
      <c r="C135" s="94" t="s">
        <v>510</v>
      </c>
      <c r="D135" s="92">
        <v>0.75</v>
      </c>
      <c r="E135" s="100">
        <f t="shared" si="33"/>
        <v>1</v>
      </c>
      <c r="F135" s="58">
        <f t="shared" si="20"/>
        <v>1</v>
      </c>
      <c r="G135" s="58">
        <f t="shared" si="21"/>
        <v>1</v>
      </c>
      <c r="H135" s="58">
        <f t="shared" si="22"/>
        <v>1</v>
      </c>
      <c r="I135" s="58">
        <f t="shared" si="23"/>
        <v>1</v>
      </c>
      <c r="J135" s="58">
        <f t="shared" si="24"/>
        <v>1</v>
      </c>
      <c r="K135" s="100">
        <f t="shared" si="34"/>
        <v>1</v>
      </c>
      <c r="L135" s="58">
        <f t="shared" si="34"/>
        <v>1</v>
      </c>
      <c r="M135" s="58">
        <f t="shared" si="34"/>
        <v>1</v>
      </c>
      <c r="N135" s="58">
        <f t="shared" si="34"/>
        <v>1</v>
      </c>
      <c r="O135" s="58"/>
      <c r="P135" s="58"/>
      <c r="Q135" s="58"/>
    </row>
    <row r="136" spans="1:17" ht="43.5" customHeight="1" x14ac:dyDescent="0.25">
      <c r="A136" s="94" t="s">
        <v>613</v>
      </c>
      <c r="B136" s="58">
        <v>114300124</v>
      </c>
      <c r="C136" s="94" t="s">
        <v>511</v>
      </c>
      <c r="D136" s="92">
        <v>0.2</v>
      </c>
      <c r="E136" s="100">
        <f t="shared" si="33"/>
        <v>1</v>
      </c>
      <c r="F136" s="58">
        <f t="shared" ref="F136:F199" si="35">IF(AND($D136*$F$4&gt;=0,$D136&lt;1.5),1,IF(AND($D136*$F$4&gt;=1.5,$D136&lt;2.5),2,IF(AND($D136*$F$4&gt;=2.5,$D136&lt;3.5),3,IF(AND($D136*$F$4&gt;=3.5,$D136&lt;4.5),4,IF(AND($D136*$F$4&gt;=4.5,$D136&lt;5.5),5,IF(AND($D136*$F$4&gt;=5.5,$D136&lt;6.5),6,IF(AND($D136*$F$4&gt;=6.5,$D136&lt;7.5),7,IF(AND($D136*$F$4&gt;=7.5,$D136&lt;8.5),8,IF(AND($D136*$F$4&gt;=8.5,$D136&lt;9.5),9,IF(AND($D136*$F$4&gt;=9.5,$D136&lt;10.5),10,IF(AND($D136*$F$4&gt;=10.5,$D136&lt;11.5),11,IF(AND($D136*$F$4&gt;=11.5,$D136&lt;12.5),12,IF(AND($D136*$F$4&gt;=12.5,$D136&lt;13.5),13,IF(AND($D136*$F$4&gt;=13.5,$D136&lt;14.5),14,IF(AND($D136*$F$4&gt;=14.5,$D136&lt;15.5),15,IF(AND($D136*$F$4&gt;=15.5,$D136&lt;16.5),16,IF(AND($D136*$F$4&gt;=16.5,$D136&lt;17.5),17,IF(AND($D136*$F$4&gt;=17.5,$D136&lt;18.5),18,IF(AND($D136*$F$4&gt;=18.5,$D136&lt;19.5),19,IF(AND($D136*$F$4&gt;=19.5,$D136&lt;20.5),20,IF(AND($D136*$F$4&gt;=20.5,$D136&lt;21.5),21,IF(AND($D136*$F$4&gt;=21.5,$D136&lt;22.5),22,IF(AND($D136*$F$4&gt;=22.5,$D136&lt;23.5),23,IF(AND($D136*$F$4&gt;=23.5,$D136&lt;24.5),24,IF(AND($D136*$F$4&gt;=24.5,$D136&lt;25.5),25,IF(AND($D136*$F$4&gt;=25.5,$D136&lt;26.5),26,IF(AND($D136*$F$4&gt;=26.5,$D136&lt;27.5),27,IF(AND($D136*$F$4&gt;=27.5,$D136&lt;28.5),28,IF(AND($D136*$F$4&gt;=28.5,$D136&lt;29.5),29,IF(AND($D136*$F$4&gt;=29.5,$D136&lt;30.5),30,IF(AND($D136*$F$4&gt;=30.5,$D136&lt;31.5),31,IF(AND($D136*$F$4&gt;=31.5,$D136&lt;32.5),32,IF(AND($D136*$F$4&gt;=32.5,$D136&lt;33.5),33,IF(AND($D136*$F$4&gt;=33.5,$D136&lt;34.5),34,IF(AND($D136*$F$4&gt;=34.5,$D136&lt;35.5),35,IF(AND($D136*$F$4&gt;=35.5,$D136&lt;36.5),36,IF(AND($D136*$F$4&gt;=36.5,$D136&lt;37.5),37,IF(AND($D136*$F$4&gt;=37.5,$D136&lt;38.5),38,IF(AND($D136*$F$4&gt;=38.5,$D136&lt;39.5),39,IF(AND($D136*$F$4&gt;=39.5,$D136&lt;40.5),40,IF(AND($D136*$F$4&gt;=40.5,$D136&lt;41.5),41,IF(AND($D136*$F$4&gt;=41.5,$D136&lt;42.5),42,IF(AND($D136*$F$4&gt;=42.5,$D136&lt;43.5),43,IF(AND($D136*$F$4&gt;=43.5,$D136&lt;44.5),44,IF(AND($D136*$F$4&gt;=44.5,$D136&lt;45.5),45,IF(AND($D136*$F$4&gt;=45.5,$D136&lt;46.5),46,IF(AND($D136*$F$4&gt;=46.5,$D136&lt;47.5),47,IF(AND($D136*$F$4&gt;=47.5,$D136&lt;48.5),48,IF(AND($D136*$F$4&gt;=48.5,$D136&lt;49.5),49,IF(AND($D136*$F$4&gt;=49.5,$D136&lt;50.5),50,IF(AND($D136*$F$4&gt;=50.5,$D136&lt;51.5),51,IF(AND($D136*$F$4&gt;=51.5,$D136&lt;52.5),52,IF(AND($D136*$F$4&gt;=52.5,$D136&lt;53.5),53,IF(AND($D136*$F$4&gt;=53.5,$D136&lt;54.5),54,IF(AND($D136*$F$4&gt;=54.5,$D136&lt;55.5),55,IF(AND($D136*$F$4&gt;=55.5,$D136&lt;56.5),56,IF(AND($D136*$F$4&gt;=64.5,$D136&lt;65.5),65,IF(AND($D136*$F$4&gt;=65.5,$D136&lt;66.5),66,IF(AND($D136*$F$4&gt;=86.5,$D136&lt;87.5),87,IF(AND($D136*$F$4&gt;=87.5,$D136&lt;88.5),88,IF(AND($D136*$F$4&gt;=121.5,$D136&lt;122.5),122,IF(AND($D136*$F$4&gt;=122.5,$D136&lt;123.5),123,0))))))))))))))))))))))))))))))))))))))))))))))))))))))))))))))</f>
        <v>1</v>
      </c>
      <c r="G136" s="58">
        <f t="shared" ref="G136:G199" si="36">IF(AND($D136*$G$4&gt;=0,$D136&lt;1.5),1,IF(AND($D136*$G$4&gt;=1.5,$D136&lt;2.5),2,IF(AND($D136*$G$4&gt;=2.5,$D136&lt;3.5),3,IF(AND($D136*$G$4&gt;=3.5,$D136&lt;4.5),4,IF(AND($D136*$G$4&gt;=4.5,$D136&lt;5.5),5,IF(AND($D136*$G$4&gt;=5.5,$D136&lt;6.5),6,IF(AND($D136*$G$4&gt;=6.5,$D136&lt;7.5),7,IF(AND($D136*$G$4&gt;=7.5,$D136&lt;8.5),8,IF(AND($D136*$G$4&gt;=8.5,$D136&lt;9.5),9,IF(AND($D136*$G$4&gt;=9.5,$D136&lt;10.5),10,IF(AND($D136*$G$4&gt;=10.5,$D136&lt;11.5),11,IF(AND($D136*$G$4&gt;=11.5,$D136&lt;12.5),12,IF(AND($D136*$G$4&gt;=12.5,$D136&lt;13.5),13,IF(AND($D136*$G$4&gt;=13.5,$D136&lt;14.5),14,IF(AND($D136*$G$4&gt;=14.5,$D136&lt;15.5),15,IF(AND($D136*$G$4&gt;=15.5,$D136&lt;16.5),16,IF(AND($D136*$G$4&gt;=16.5,$D136&lt;17.5),17,IF(AND($D136*$G$4&gt;=17.5,$D136&lt;18.5),18,IF(AND($D136*$G$4&gt;=18.5,$D136&lt;19.5),19,IF(AND($D136*$G$4&gt;=19.5,$D136&lt;20.5),20,IF(AND($D136*$G$4&gt;=20.5,$D136&lt;21.5),21,IF(AND($D136*$G$4&gt;=21.5,$D136&lt;22.5),22,IF(AND($D136*$G$4&gt;=22.5,$D136&lt;23.5),23,IF(AND($D136*$G$4&gt;=23.5,$D136&lt;24.5),24,IF(AND($D136*$G$4&gt;=24.5,$D136&lt;25.5),25,IF(AND($D136*$G$4&gt;=25.5,$D136&lt;26.5),26,IF(AND($D136*$G$4&gt;=26.5,$D136&lt;27.5),27,IF(AND($D136*$G$4&gt;=27.5,$D136&lt;28.5),28,IF(AND($D136*$G$4&gt;=28.5,$D136&lt;29.5),29,IF(AND($D136*$G$4&gt;=29.5,$D136&lt;30.5),30,IF(AND($D136*$G$4&gt;=30.5,$D136&lt;31.5),31,IF(AND($D136*$G$4&gt;=31.5,$D136&lt;32.5),32,IF(AND($D136*$G$4&gt;=32.5,$D136&lt;33.5),33,IF(AND($D136*$G$4&gt;=33.5,$D136&lt;34.5),34,IF(AND($D136*$G$4&gt;=34.5,$D136&lt;35.5),35,IF(AND($D136*$G$4&gt;=35.5,$D136&lt;36.5),36,IF(AND($D136*$G$4&gt;=36.5,$D136&lt;37.5),37,IF(AND($D136*$G$4&gt;=37.5,$D136&lt;38.5),38,IF(AND($D136*$G$4&gt;=38.5,$D136&lt;39.5),39,IF(AND($D136*$G$4&gt;=39.5,$D136&lt;40.5),40,IF(AND($D136*$G$4&gt;=40.5,$D136&lt;41.5),41,IF(AND($D136*$G$4&gt;=41.5,$D136&lt;42.5),42,IF(AND($D136*$G$4&gt;=42.5,$D136&lt;43.5),43,IF(AND($D136*$G$4&gt;=43.5,$D136&lt;44.5),44,IF(AND($D136*$G$4&gt;=44.5,$D136&lt;45.5),45,IF(AND($D136*$G$4&gt;=45.5,$D136&lt;46.5),46,IF(AND($D136*$G$4&gt;=46.5,$D136&lt;47.5),47,IF(AND($D136*$G$4&gt;=47.5,$D136&lt;48.5),48,IF(AND($D136*$G$4&gt;=48.5,$D136&lt;49.5),49,IF(AND($D136*$G$4&gt;=49.5,$D136&lt;50.5),50,IF(AND($D136*$G$4&gt;=50.5,$D136&lt;51.5),51,IF(AND($D136*$G$4&gt;=51.5,$D136&lt;52.5),52,IF(AND($D136*$G$4&gt;=52.5,$D136&lt;53.5),53,IF(AND($D136*$G$4&gt;=53.5,$D136&lt;54.5),54,IF(AND($D136*$G$4&gt;=54.5,$D136&lt;55.5),55,IF(AND($D136*$G$4&gt;=55.5,$D136&lt;56.5),56,IF(AND($D136*$G$4&gt;=64.5,$D136&lt;65.5),65,IF(AND($D136*$G$4&gt;=65.5,$D136&lt;66.5),66,IF(AND($D136*$G$4&gt;=86.5,$D136&lt;87.5),87,IF(AND($D136*$G$4&gt;=87.5,$D136&lt;88.5),88,IF(AND($D136*$G$4&gt;=121.5,$D136&lt;122.5),122,IF(AND($D136*$G$4&gt;=122.5,$D136&lt;123.5),123,0))))))))))))))))))))))))))))))))))))))))))))))))))))))))))))))</f>
        <v>1</v>
      </c>
      <c r="H136" s="58">
        <f t="shared" ref="H136:H199" si="37">IF(AND($D136*$H$4&gt;=0,$D136&lt;1.5),1,IF(AND($D136*$H$4&gt;=1.5,$D136&lt;2.5),2,IF(AND($D136*$H$4&gt;=2.5,$D136&lt;3.5),3,IF(AND($D136*$H$4&gt;=3.5,$D136&lt;4.5),4,IF(AND($D136*$H$4&gt;=4.5,$D136&lt;5.5),5,IF(AND($D136*$H$4&gt;=5.5,$D136&lt;6.5),6,IF(AND($D136*$H$4&gt;=6.5,$D136&lt;7.5),7,IF(AND($D136*$H$4&gt;=7.5,$D136&lt;8.5),8,IF(AND($D136*$H$4&gt;=8.5,$D136&lt;9.5),9,IF(AND($D136*$H$4&gt;=9.5,$D136&lt;10.5),10,IF(AND($D136*$H$4&gt;=10.5,$D136&lt;11.5),11,IF(AND($D136*$H$4&gt;=11.5,$D136&lt;12.5),12,IF(AND($D136*$H$4&gt;=12.5,$D136&lt;13.5),13,IF(AND($D136*$H$4&gt;=13.5,$D136&lt;14.5),14,IF(AND($D136*$H$4&gt;=14.5,$D136&lt;15.5),15,IF(AND($D136*$H$4&gt;=15.5,$D136&lt;16.5),16,IF(AND($D136*$H$4&gt;=16.5,$D136&lt;17.5),17,IF(AND($D136*$H$4&gt;=17.5,$D136&lt;18.5),18,IF(AND($D136*$H$4&gt;=18.5,$D136&lt;19.5),19,IF(AND($D136*$H$4&gt;=19.5,$D136&lt;20.5),20,IF(AND($D136*$H$4&gt;=20.5,$D136&lt;21.5),21,IF(AND($D136*$H$4&gt;=21.5,$D136&lt;22.5),22,IF(AND($D136*$H$4&gt;=22.5,$D136&lt;23.5),23,IF(AND($D136*$H$4&gt;=23.5,$D136&lt;24.5),24,IF(AND($D136*$H$4&gt;=24.5,$D136&lt;25.5),25,IF(AND($D136*$H$4&gt;=25.5,$D136&lt;26.5),26,IF(AND($D136*$H$4&gt;=26.5,$D136&lt;27.5),27,IF(AND($D136*$H$4&gt;=27.5,$D136&lt;28.5),28,IF(AND($D136*$H$4&gt;=28.5,$D136&lt;29.5),29,IF(AND($D136*$H$4&gt;=29.5,$D136&lt;30.5),30,IF(AND($D136*$H$4&gt;=30.5,$D136&lt;31.5),31,IF(AND($D136*$H$4&gt;=31.5,$D136&lt;32.5),32,IF(AND($D136*$H$4&gt;=32.5,$D136&lt;33.5),33,IF(AND($D136*$H$4&gt;=33.5,$D136&lt;34.5),34,IF(AND($D136*$H$4&gt;=34.5,$D136&lt;35.5),35,IF(AND($D136*$H$4&gt;=35.5,$D136&lt;36.5),36,IF(AND($D136*$H$4&gt;=36.5,$D136&lt;37.5),37,IF(AND($D136*$H$4&gt;=37.5,$D136&lt;38.5),38,IF(AND($D136*$H$4&gt;=38.5,$D136&lt;39.5),39,IF(AND($D136*$H$4&gt;=39.5,$D136&lt;40.5),40,IF(AND($D136*$H$4&gt;=40.5,$D136&lt;41.5),41,IF(AND($D136*$H$4&gt;=41.5,$D136&lt;42.5),42,IF(AND($D136*$H$4&gt;=42.5,$D136&lt;43.5),43,IF(AND($D136*$H$4&gt;=43.5,$D136&lt;44.5),44,IF(AND($D136*$H$4&gt;=44.5,$D136&lt;45.5),45,IF(AND($D136*$H$4&gt;=45.5,$D136&lt;46.5),46,IF(AND($D136*$H$4&gt;=46.5,$D136&lt;47.5),47,IF(AND($D136*$H$4&gt;=47.5,$D136&lt;48.5),48,IF(AND($D136*$H$4&gt;=48.5,$D136&lt;49.5),49,IF(AND($D136*$H$4&gt;=49.5,$D136&lt;50.5),50,IF(AND($D136*$H$4&gt;=50.5,$D136&lt;51.5),51,IF(AND($D136*$H$4&gt;=51.5,$D136&lt;52.5),52,IF(AND($D136*$H$4&gt;=52.5,$D136&lt;53.5),53,IF(AND($D136*$H$4&gt;=53.5,$D136&lt;54.5),54,IF(AND($D136*$H$4&gt;=54.5,$D136&lt;55.5),55,IF(AND($D136*$H$4&gt;=55.5,$D136&lt;56.5),56,IF(AND($D136*$H$4&gt;=64.5,$D136&lt;65.5),65,IF(AND($D136*$H$4&gt;=65.5,$D136&lt;66.5),66,IF(AND($D136*$H$4&gt;=86.5,$D136&lt;87.5),87,IF(AND($D136*$H$4&gt;=87.5,$D136&lt;88.5),88,IF(AND($D136*$H$4&gt;=121.5,$D136&lt;122.5),122,IF(AND($D136*$H$4&gt;=122.5,$D136&lt;123.5),123,0))))))))))))))))))))))))))))))))))))))))))))))))))))))))))))))</f>
        <v>1</v>
      </c>
      <c r="I136" s="58">
        <f t="shared" ref="I136:I199" si="38">IF(AND($D136*$I$4&gt;=0,$D136&lt;1.5),1,IF(AND($D136*$I$4&gt;=1.5,$D136&lt;2.5),2,IF(AND($D136*$I$4&gt;=2.5,$D136&lt;3.5),3,IF(AND($D136*$I$4&gt;=3.5,$D136&lt;4.5),4,IF(AND($D136*$I$4&gt;=4.5,$D136&lt;5.5),5,IF(AND($D136*$I$4&gt;=5.5,$D136&lt;6.5),6,IF(AND($D136*$I$4&gt;=6.5,$D136&lt;7.5),7,IF(AND($D136*$I$4&gt;=7.5,$D136&lt;8.5),8,IF(AND($D136*$I$4&gt;=8.5,$D136&lt;9.5),9,IF(AND($D136*$I$4&gt;=9.5,$D136&lt;10.5),10,IF(AND($D136*$I$4&gt;=10.5,$D136&lt;11.5),11,IF(AND($D136*$I$4&gt;=11.5,$D136&lt;12.5),12,IF(AND($D136*$I$4&gt;=12.5,$D136&lt;13.5),13,IF(AND($D136*$I$4&gt;=13.5,$D136&lt;14.5),14,IF(AND($D136*$I$4&gt;=14.5,$D136&lt;15.5),15,IF(AND($D136*$I$4&gt;=15.5,$D136&lt;16.5),16,IF(AND($D136*$I$4&gt;=16.5,$D136&lt;17.5),17,IF(AND($D136*$I$4&gt;=17.5,$D136&lt;18.5),18,IF(AND($D136*$I$4&gt;=18.5,$D136&lt;19.5),19,IF(AND($D136*$I$4&gt;=19.5,$D136&lt;20.5),20,IF(AND($D136*$I$4&gt;=20.5,$D136&lt;21.5),21,IF(AND($D136*$I$4&gt;=21.5,$D136&lt;22.5),22,IF(AND($D136*$I$4&gt;=22.5,$D136&lt;23.5),23,IF(AND($D136*$I$4&gt;=23.5,$D136&lt;24.5),24,IF(AND($D136*$I$4&gt;=24.5,$D136&lt;25.5),25,IF(AND($D136*$I$4&gt;=25.5,$D136&lt;26.5),26,IF(AND($D136*$I$4&gt;=26.5,$D136&lt;27.5),27,IF(AND($D136*$I$4&gt;=27.5,$D136&lt;28.5),28,IF(AND($D136*$I$4&gt;=28.5,$D136&lt;29.5),29,IF(AND($D136*$I$4&gt;=29.5,$D136&lt;30.5),30,IF(AND($D136*$I$4&gt;=30.5,$D136&lt;31.5),31,IF(AND($D136*$I$4&gt;=31.5,$D136&lt;32.5),32,IF(AND($D136*$I$4&gt;=32.5,$D136&lt;33.5),33,IF(AND($D136*$I$4&gt;=33.5,$D136&lt;34.5),34,IF(AND($D136*$I$4&gt;=34.5,$D136&lt;35.5),35,IF(AND($D136*$I$4&gt;=35.5,$D136&lt;36.5),36,IF(AND($D136*$I$4&gt;=36.5,$D136&lt;37.5),37,IF(AND($D136*$I$4&gt;=37.5,$D136&lt;38.5),38,IF(AND($D136*$I$4&gt;=38.5,$D136&lt;39.5),39,IF(AND($D136*$I$4&gt;=39.5,$D136&lt;40.5),40,IF(AND($D136*$I$4&gt;=40.5,$D136&lt;41.5),41,IF(AND($D136*$I$4&gt;=41.5,$D136&lt;42.5),42,IF(AND($D136*$I$4&gt;=42.5,$D136&lt;43.5),43,IF(AND($D136*$I$4&gt;=43.5,$D136&lt;44.5),44,IF(AND($D136*$I$4&gt;=44.5,$D136&lt;45.5),45,IF(AND($D136*$I$4&gt;=45.5,$D136&lt;46.5),46,IF(AND($D136*$I$4&gt;=46.5,$D136&lt;47.5),47,IF(AND($D136*$I$4&gt;=47.5,$D136&lt;48.5),48,IF(AND($D136*$I$4&gt;=48.5,$D136&lt;49.5),49,IF(AND($D136*$I$4&gt;=49.5,$D136&lt;50.5),50,IF(AND($D136*$I$4&gt;=50.5,$D136&lt;51.5),51,IF(AND($D136*$I$4&gt;=51.5,$D136&lt;52.5),52,IF(AND($D136*$I$4&gt;=52.5,$D136&lt;53.5),53,IF(AND($D136*$I$4&gt;=53.5,$D136&lt;54.5),54,IF(AND($D136*$I$4&gt;=54.5,$D136&lt;55.5),55,IF(AND($D136*$I$4&gt;=55.5,$D136&lt;56.5),56,IF(AND($D136*$I$4&gt;=64.5,$D136&lt;65.5),65,IF(AND($D136*$I$4&gt;=65.5,$D136&lt;66.5),66,IF(AND($D136*$I$4&gt;=86.5,$D136&lt;87.5),87,IF(AND($D136*$I$4&gt;=87.5,$D136&lt;88.5),88,IF(AND($D136*$I$4&gt;=121.5,$D136&lt;122.5),122,IF(AND($D136*$I$4&gt;=122.5,$D136&lt;123.5),123,0))))))))))))))))))))))))))))))))))))))))))))))))))))))))))))))</f>
        <v>1</v>
      </c>
      <c r="J136" s="58">
        <f t="shared" ref="J136:J199" si="39">IF(AND($D136*$J$4&gt;=0,$D136&lt;1.5),1,IF(AND($D136*$J$4&gt;=1.5,$D136&lt;2.5),2,IF(AND($D136*$J$4&gt;=2.5,$D136&lt;3.5),3,IF(AND($D136*$J$4&gt;=3.5,$D136&lt;4.5),4,IF(AND($D136*$J$4&gt;=4.5,$D136&lt;5.5),5,IF(AND($D136*$J$4&gt;=5.5,$D136&lt;6.5),6,IF(AND($D136*$J$4&gt;=6.5,$D136&lt;7.5),7,IF(AND($D136*$J$4&gt;=7.5,$D136&lt;8.5),8,IF(AND($D136*$J$4&gt;=8.5,$D136&lt;9.5),9,IF(AND($D136*$J$4&gt;=9.5,$D136&lt;10.5),10,IF(AND($D136*$J$4&gt;=10.5,$D136&lt;11.5),11,IF(AND($D136*$J$4&gt;=11.5,$D136&lt;12.5),12,IF(AND($D136*$J$4&gt;=12.5,$D136&lt;13.5),13,IF(AND($D136*$J$4&gt;=13.5,$D136&lt;14.5),14,IF(AND($D136*$J$4&gt;=14.5,$D136&lt;15.5),15,IF(AND($D136*$J$4&gt;=15.5,$D136&lt;16.5),16,IF(AND($D136*$J$4&gt;=16.5,$D136&lt;17.5),17,IF(AND($D136*$J$4&gt;=17.5,$D136&lt;18.5),18,IF(AND($D136*$J$4&gt;=18.5,$D136&lt;19.5),19,IF(AND($D136*$J$4&gt;=19.5,$D136&lt;20.5),20,IF(AND($D136*$J$4&gt;=20.5,$D136&lt;21.5),21,IF(AND($D136*$J$4&gt;=21.5,$D136&lt;22.5),22,IF(AND($D136*$J$4&gt;=22.5,$D136&lt;23.5),23,IF(AND($D136*$J$4&gt;=23.5,$D136&lt;24.5),24,IF(AND($D136*$J$4&gt;=24.5,$D136&lt;25.5),25,IF(AND($D136*$J$4&gt;=25.5,$D136&lt;26.5),26,IF(AND($D136*$J$4&gt;=26.5,$D136&lt;27.5),27,IF(AND($D136*$J$4&gt;=27.5,$D136&lt;28.5),28,IF(AND($D136*$J$4&gt;=28.5,$D136&lt;29.5),29,IF(AND($D136*$J$4&gt;=29.5,$D136&lt;30.5),30,IF(AND($D136*$J$4&gt;=30.5,$D136&lt;31.5),31,IF(AND($D136*$J$4&gt;=31.5,$D136&lt;32.5),32,IF(AND($D136*$J$4&gt;=32.5,$D136&lt;33.5),33,IF(AND($D136*$J$4&gt;=33.5,$D136&lt;34.5),34,IF(AND($D136*$J$4&gt;=34.5,$D136&lt;35.5),35,IF(AND($D136*$J$4&gt;=35.5,$D136&lt;36.5),36,IF(AND($D136*$J$4&gt;=36.5,$D136&lt;37.5),37,IF(AND($D136*$J$4&gt;=37.5,$D136&lt;38.5),38,IF(AND($D136*$J$4&gt;=38.5,$D136&lt;39.5),39,IF(AND($D136*$J$4&gt;=39.5,$D136&lt;40.5),40,IF(AND($D136*$J$4&gt;=40.5,$D136&lt;41.5),41,IF(AND($D136*$J$4&gt;=41.5,$D136&lt;42.5),42,IF(AND($D136*$J$4&gt;=42.5,$D136&lt;43.5),43,IF(AND($D136*$J$4&gt;=43.5,$D136&lt;44.5),44,IF(AND($D136*$J$4&gt;=44.5,$D136&lt;45.5),45,IF(AND($D136*$J$4&gt;=45.5,$D136&lt;46.5),46,IF(AND($D136*$J$4&gt;=46.5,$D136&lt;47.5),47,IF(AND($D136*$J$4&gt;=47.5,$D136&lt;48.5),48,IF(AND($D136*$J$4&gt;=48.5,$D136&lt;49.5),49,IF(AND($D136*$J$4&gt;=49.5,$D136&lt;50.5),50,IF(AND($D136*$J$4&gt;=50.5,$D136&lt;51.5),51,IF(AND($D136*$J$4&gt;=51.5,$D136&lt;52.5),52,IF(AND($D136*$J$4&gt;=52.5,$D136&lt;53.5),53,IF(AND($D136*$J$4&gt;=53.5,$D136&lt;54.5),54,IF(AND($D136*$J$4&gt;=54.5,$D136&lt;55.5),55,IF(AND($D136*$J$4&gt;=55.5,$D136&lt;56.5),56,IF(AND($D136*$J$4&gt;=64.5,$D136&lt;65.5),65,IF(AND($D136*$J$4&gt;=65.5,$D136&lt;66.5),66,IF(AND($D136*$J$4&gt;=86.5,$D136&lt;87.5),87,IF(AND($D136*$J$4&gt;=87.5,$D136&lt;88.5),88,IF(AND($D136*$J$4&gt;=121.5,$D136&lt;122.5),122,IF(AND($D136*$J$4&gt;=122.5,$D136&lt;123.5),123,0))))))))))))))))))))))))))))))))))))))))))))))))))))))))))))))</f>
        <v>1</v>
      </c>
      <c r="K136" s="100">
        <f t="shared" si="34"/>
        <v>1</v>
      </c>
      <c r="L136" s="58">
        <f t="shared" si="34"/>
        <v>1</v>
      </c>
      <c r="M136" s="58">
        <f t="shared" si="34"/>
        <v>1</v>
      </c>
      <c r="N136" s="58">
        <f t="shared" si="34"/>
        <v>1</v>
      </c>
      <c r="O136" s="58"/>
      <c r="P136" s="58"/>
      <c r="Q136" s="58"/>
    </row>
    <row r="137" spans="1:17" ht="43.5" customHeight="1" x14ac:dyDescent="0.25">
      <c r="A137" s="94" t="s">
        <v>613</v>
      </c>
      <c r="B137" s="58">
        <v>114300125</v>
      </c>
      <c r="C137" s="94" t="s">
        <v>270</v>
      </c>
      <c r="D137" s="92">
        <v>0.20000000000000007</v>
      </c>
      <c r="E137" s="100">
        <f t="shared" si="33"/>
        <v>1</v>
      </c>
      <c r="F137" s="58">
        <f t="shared" si="35"/>
        <v>1</v>
      </c>
      <c r="G137" s="58">
        <f t="shared" si="36"/>
        <v>1</v>
      </c>
      <c r="H137" s="58">
        <f t="shared" si="37"/>
        <v>1</v>
      </c>
      <c r="I137" s="58">
        <f t="shared" si="38"/>
        <v>1</v>
      </c>
      <c r="J137" s="58">
        <f t="shared" si="39"/>
        <v>1</v>
      </c>
      <c r="K137" s="100">
        <f t="shared" si="34"/>
        <v>1</v>
      </c>
      <c r="L137" s="58">
        <f t="shared" si="34"/>
        <v>1</v>
      </c>
      <c r="M137" s="58">
        <f t="shared" si="34"/>
        <v>1</v>
      </c>
      <c r="N137" s="58">
        <f t="shared" si="34"/>
        <v>1</v>
      </c>
      <c r="O137" s="58"/>
      <c r="P137" s="58"/>
      <c r="Q137" s="58"/>
    </row>
    <row r="138" spans="1:17" ht="43.5" customHeight="1" x14ac:dyDescent="0.25">
      <c r="A138" s="94" t="s">
        <v>613</v>
      </c>
      <c r="B138" s="58">
        <v>114300126</v>
      </c>
      <c r="C138" s="94" t="s">
        <v>512</v>
      </c>
      <c r="D138" s="92">
        <v>1.9</v>
      </c>
      <c r="E138" s="100">
        <f t="shared" si="33"/>
        <v>1</v>
      </c>
      <c r="F138" s="58">
        <f t="shared" si="35"/>
        <v>2</v>
      </c>
      <c r="G138" s="58">
        <f t="shared" si="36"/>
        <v>2</v>
      </c>
      <c r="H138" s="58">
        <f t="shared" si="37"/>
        <v>2</v>
      </c>
      <c r="I138" s="58">
        <f t="shared" si="38"/>
        <v>2</v>
      </c>
      <c r="J138" s="58">
        <f t="shared" si="39"/>
        <v>2</v>
      </c>
      <c r="K138" s="100">
        <f t="shared" si="34"/>
        <v>1</v>
      </c>
      <c r="L138" s="58">
        <f t="shared" si="34"/>
        <v>1</v>
      </c>
      <c r="M138" s="58">
        <f t="shared" si="34"/>
        <v>1</v>
      </c>
      <c r="N138" s="58">
        <f t="shared" si="34"/>
        <v>1</v>
      </c>
      <c r="O138" s="58"/>
      <c r="P138" s="58"/>
      <c r="Q138" s="58"/>
    </row>
    <row r="139" spans="1:17" ht="43.5" customHeight="1" x14ac:dyDescent="0.25">
      <c r="A139" s="94" t="s">
        <v>613</v>
      </c>
      <c r="B139" s="58">
        <v>114300127</v>
      </c>
      <c r="C139" s="94" t="s">
        <v>513</v>
      </c>
      <c r="D139" s="92">
        <v>0.35</v>
      </c>
      <c r="E139" s="100">
        <f t="shared" si="33"/>
        <v>1</v>
      </c>
      <c r="F139" s="58">
        <f t="shared" si="35"/>
        <v>1</v>
      </c>
      <c r="G139" s="58">
        <f t="shared" si="36"/>
        <v>1</v>
      </c>
      <c r="H139" s="58">
        <f t="shared" si="37"/>
        <v>1</v>
      </c>
      <c r="I139" s="58">
        <f t="shared" si="38"/>
        <v>1</v>
      </c>
      <c r="J139" s="58">
        <f t="shared" si="39"/>
        <v>1</v>
      </c>
      <c r="K139" s="100">
        <f t="shared" si="34"/>
        <v>1</v>
      </c>
      <c r="L139" s="58">
        <f t="shared" si="34"/>
        <v>1</v>
      </c>
      <c r="M139" s="58">
        <f t="shared" si="34"/>
        <v>1</v>
      </c>
      <c r="N139" s="58">
        <f t="shared" si="34"/>
        <v>1</v>
      </c>
      <c r="O139" s="58"/>
      <c r="P139" s="58"/>
      <c r="Q139" s="58"/>
    </row>
    <row r="140" spans="1:17" ht="43.5" customHeight="1" x14ac:dyDescent="0.25">
      <c r="A140" s="94" t="s">
        <v>613</v>
      </c>
      <c r="B140" s="58">
        <v>114300128</v>
      </c>
      <c r="C140" s="94" t="s">
        <v>514</v>
      </c>
      <c r="D140" s="92">
        <v>1.25</v>
      </c>
      <c r="E140" s="100">
        <f t="shared" si="33"/>
        <v>1</v>
      </c>
      <c r="F140" s="58">
        <f t="shared" si="35"/>
        <v>1</v>
      </c>
      <c r="G140" s="58">
        <f t="shared" si="36"/>
        <v>1</v>
      </c>
      <c r="H140" s="58">
        <f t="shared" si="37"/>
        <v>1</v>
      </c>
      <c r="I140" s="58">
        <f t="shared" si="38"/>
        <v>1</v>
      </c>
      <c r="J140" s="58">
        <f t="shared" si="39"/>
        <v>1</v>
      </c>
      <c r="K140" s="100">
        <f t="shared" si="34"/>
        <v>1</v>
      </c>
      <c r="L140" s="58">
        <f t="shared" si="34"/>
        <v>1</v>
      </c>
      <c r="M140" s="58">
        <f t="shared" si="34"/>
        <v>1</v>
      </c>
      <c r="N140" s="58">
        <f t="shared" si="34"/>
        <v>1</v>
      </c>
      <c r="O140" s="58"/>
      <c r="P140" s="58"/>
      <c r="Q140" s="58"/>
    </row>
    <row r="141" spans="1:17" ht="43.5" customHeight="1" x14ac:dyDescent="0.25">
      <c r="A141" s="94" t="s">
        <v>613</v>
      </c>
      <c r="B141" s="58">
        <v>114300129</v>
      </c>
      <c r="C141" s="94" t="s">
        <v>515</v>
      </c>
      <c r="D141" s="92">
        <v>0.44999999999999996</v>
      </c>
      <c r="E141" s="100">
        <f t="shared" si="33"/>
        <v>1</v>
      </c>
      <c r="F141" s="58">
        <f t="shared" si="35"/>
        <v>1</v>
      </c>
      <c r="G141" s="58">
        <f t="shared" si="36"/>
        <v>1</v>
      </c>
      <c r="H141" s="58">
        <f t="shared" si="37"/>
        <v>1</v>
      </c>
      <c r="I141" s="58">
        <f t="shared" si="38"/>
        <v>1</v>
      </c>
      <c r="J141" s="58">
        <f t="shared" si="39"/>
        <v>1</v>
      </c>
      <c r="K141" s="100">
        <f t="shared" si="34"/>
        <v>1</v>
      </c>
      <c r="L141" s="58">
        <f t="shared" si="34"/>
        <v>1</v>
      </c>
      <c r="M141" s="58">
        <f t="shared" si="34"/>
        <v>1</v>
      </c>
      <c r="N141" s="58">
        <f t="shared" si="34"/>
        <v>1</v>
      </c>
      <c r="O141" s="58"/>
      <c r="P141" s="58"/>
      <c r="Q141" s="58"/>
    </row>
    <row r="142" spans="1:17" ht="43.5" customHeight="1" x14ac:dyDescent="0.25">
      <c r="A142" s="94" t="s">
        <v>613</v>
      </c>
      <c r="B142" s="58">
        <v>114300130</v>
      </c>
      <c r="C142" s="94" t="s">
        <v>280</v>
      </c>
      <c r="D142" s="92">
        <v>0.30000000000000004</v>
      </c>
      <c r="E142" s="100">
        <f t="shared" si="33"/>
        <v>1</v>
      </c>
      <c r="F142" s="58">
        <f t="shared" si="35"/>
        <v>1</v>
      </c>
      <c r="G142" s="58">
        <f t="shared" si="36"/>
        <v>1</v>
      </c>
      <c r="H142" s="58">
        <f t="shared" si="37"/>
        <v>1</v>
      </c>
      <c r="I142" s="58">
        <f t="shared" si="38"/>
        <v>1</v>
      </c>
      <c r="J142" s="58">
        <f t="shared" si="39"/>
        <v>1</v>
      </c>
      <c r="K142" s="100">
        <f t="shared" si="34"/>
        <v>1</v>
      </c>
      <c r="L142" s="58">
        <f t="shared" si="34"/>
        <v>1</v>
      </c>
      <c r="M142" s="58">
        <f t="shared" si="34"/>
        <v>1</v>
      </c>
      <c r="N142" s="58">
        <f t="shared" si="34"/>
        <v>1</v>
      </c>
      <c r="O142" s="58"/>
      <c r="P142" s="58"/>
      <c r="Q142" s="58"/>
    </row>
    <row r="143" spans="1:17" ht="43.5" customHeight="1" x14ac:dyDescent="0.25">
      <c r="A143" s="94" t="s">
        <v>613</v>
      </c>
      <c r="B143" s="58">
        <v>114300131</v>
      </c>
      <c r="C143" s="94" t="s">
        <v>516</v>
      </c>
      <c r="D143" s="92">
        <v>0.19999999999999998</v>
      </c>
      <c r="E143" s="100">
        <f t="shared" si="33"/>
        <v>1</v>
      </c>
      <c r="F143" s="58">
        <f t="shared" si="35"/>
        <v>1</v>
      </c>
      <c r="G143" s="58">
        <f t="shared" si="36"/>
        <v>1</v>
      </c>
      <c r="H143" s="58">
        <f t="shared" si="37"/>
        <v>1</v>
      </c>
      <c r="I143" s="58">
        <f t="shared" si="38"/>
        <v>1</v>
      </c>
      <c r="J143" s="58">
        <f t="shared" si="39"/>
        <v>1</v>
      </c>
      <c r="K143" s="100">
        <f t="shared" si="34"/>
        <v>1</v>
      </c>
      <c r="L143" s="58">
        <f t="shared" si="34"/>
        <v>1</v>
      </c>
      <c r="M143" s="58">
        <f t="shared" si="34"/>
        <v>1</v>
      </c>
      <c r="N143" s="58">
        <f t="shared" si="34"/>
        <v>1</v>
      </c>
      <c r="O143" s="58"/>
      <c r="P143" s="58"/>
      <c r="Q143" s="58"/>
    </row>
    <row r="144" spans="1:17" ht="43.5" customHeight="1" x14ac:dyDescent="0.25">
      <c r="A144" s="94" t="s">
        <v>613</v>
      </c>
      <c r="B144" s="58">
        <v>1143002</v>
      </c>
      <c r="C144" s="94" t="s">
        <v>517</v>
      </c>
      <c r="D144" s="92">
        <v>1.5</v>
      </c>
      <c r="E144" s="100">
        <f t="shared" si="33"/>
        <v>1</v>
      </c>
      <c r="F144" s="58">
        <f t="shared" si="35"/>
        <v>2</v>
      </c>
      <c r="G144" s="58">
        <f t="shared" si="36"/>
        <v>2</v>
      </c>
      <c r="H144" s="58">
        <f t="shared" si="37"/>
        <v>2</v>
      </c>
      <c r="I144" s="58">
        <f t="shared" si="38"/>
        <v>2</v>
      </c>
      <c r="J144" s="58">
        <f t="shared" si="39"/>
        <v>2</v>
      </c>
      <c r="K144" s="100">
        <f t="shared" si="34"/>
        <v>1</v>
      </c>
      <c r="L144" s="58">
        <f t="shared" si="34"/>
        <v>1</v>
      </c>
      <c r="M144" s="58">
        <f t="shared" si="34"/>
        <v>1</v>
      </c>
      <c r="N144" s="58">
        <f t="shared" si="34"/>
        <v>1</v>
      </c>
      <c r="O144" s="58"/>
      <c r="P144" s="58"/>
      <c r="Q144" s="58"/>
    </row>
    <row r="145" spans="1:17" ht="43.5" customHeight="1" x14ac:dyDescent="0.25">
      <c r="A145" s="94" t="s">
        <v>613</v>
      </c>
      <c r="B145" s="58">
        <v>1143003</v>
      </c>
      <c r="C145" s="94" t="s">
        <v>518</v>
      </c>
      <c r="D145" s="92">
        <v>3.5</v>
      </c>
      <c r="E145" s="100">
        <f t="shared" si="33"/>
        <v>2</v>
      </c>
      <c r="F145" s="58">
        <f t="shared" si="35"/>
        <v>4</v>
      </c>
      <c r="G145" s="58">
        <f t="shared" si="36"/>
        <v>4</v>
      </c>
      <c r="H145" s="58">
        <f t="shared" si="37"/>
        <v>4</v>
      </c>
      <c r="I145" s="58">
        <f t="shared" si="38"/>
        <v>4</v>
      </c>
      <c r="J145" s="58">
        <f t="shared" si="39"/>
        <v>4</v>
      </c>
      <c r="K145" s="100">
        <f t="shared" si="34"/>
        <v>1</v>
      </c>
      <c r="L145" s="58">
        <f t="shared" si="34"/>
        <v>1</v>
      </c>
      <c r="M145" s="58">
        <f t="shared" si="34"/>
        <v>1</v>
      </c>
      <c r="N145" s="58">
        <f t="shared" si="34"/>
        <v>1</v>
      </c>
      <c r="O145" s="58"/>
      <c r="P145" s="58"/>
      <c r="Q145" s="58"/>
    </row>
    <row r="146" spans="1:17" ht="43.5" customHeight="1" x14ac:dyDescent="0.25">
      <c r="A146" s="94" t="s">
        <v>613</v>
      </c>
      <c r="B146" s="58">
        <v>1143004</v>
      </c>
      <c r="C146" s="94" t="s">
        <v>519</v>
      </c>
      <c r="D146" s="92">
        <v>4.7</v>
      </c>
      <c r="E146" s="100">
        <f>IF($D146*$E$4&lt;2.5,2,IF($D146*$E$4&gt;=2.5,3,0))</f>
        <v>2</v>
      </c>
      <c r="F146" s="58">
        <f t="shared" si="35"/>
        <v>5</v>
      </c>
      <c r="G146" s="58">
        <f t="shared" si="36"/>
        <v>5</v>
      </c>
      <c r="H146" s="58">
        <f t="shared" si="37"/>
        <v>5</v>
      </c>
      <c r="I146" s="58">
        <f t="shared" si="38"/>
        <v>5</v>
      </c>
      <c r="J146" s="58">
        <f t="shared" si="39"/>
        <v>5</v>
      </c>
      <c r="K146" s="100">
        <f t="shared" si="34"/>
        <v>1</v>
      </c>
      <c r="L146" s="58">
        <f t="shared" si="34"/>
        <v>1</v>
      </c>
      <c r="M146" s="58">
        <f t="shared" si="34"/>
        <v>1</v>
      </c>
      <c r="N146" s="58">
        <f t="shared" si="34"/>
        <v>1</v>
      </c>
      <c r="O146" s="58"/>
      <c r="P146" s="58"/>
      <c r="Q146" s="58"/>
    </row>
    <row r="147" spans="1:17" ht="43.5" customHeight="1" x14ac:dyDescent="0.25">
      <c r="A147" s="94" t="s">
        <v>613</v>
      </c>
      <c r="B147" s="58">
        <v>1143005</v>
      </c>
      <c r="C147" s="94" t="s">
        <v>520</v>
      </c>
      <c r="D147" s="92">
        <v>2</v>
      </c>
      <c r="E147" s="107">
        <f>IF($D147*$E$4&lt;1.5,1,IF($D147*$E$4&gt;=1.5,2,0))</f>
        <v>1</v>
      </c>
      <c r="F147" s="58">
        <f t="shared" si="35"/>
        <v>2</v>
      </c>
      <c r="G147" s="58">
        <f t="shared" si="36"/>
        <v>2</v>
      </c>
      <c r="H147" s="58">
        <f t="shared" si="37"/>
        <v>2</v>
      </c>
      <c r="I147" s="58">
        <f t="shared" si="38"/>
        <v>2</v>
      </c>
      <c r="J147" s="58">
        <f t="shared" si="39"/>
        <v>2</v>
      </c>
      <c r="K147" s="100">
        <f t="shared" si="34"/>
        <v>1</v>
      </c>
      <c r="L147" s="58">
        <f t="shared" si="34"/>
        <v>1</v>
      </c>
      <c r="M147" s="58">
        <f t="shared" si="34"/>
        <v>1</v>
      </c>
      <c r="N147" s="58">
        <f t="shared" si="34"/>
        <v>1</v>
      </c>
      <c r="O147" s="58"/>
      <c r="P147" s="58"/>
      <c r="Q147" s="58"/>
    </row>
    <row r="148" spans="1:17" ht="43.5" customHeight="1" x14ac:dyDescent="0.25">
      <c r="A148" s="94" t="s">
        <v>614</v>
      </c>
      <c r="B148" s="58">
        <v>11440</v>
      </c>
      <c r="C148" s="94" t="s">
        <v>521</v>
      </c>
      <c r="D148" s="92">
        <v>4.0999999999999996</v>
      </c>
      <c r="E148" s="100">
        <f>IF($D148*$E$4&lt;2.5,2,IF($D148*$E$4&gt;=2.5,3,0))</f>
        <v>2</v>
      </c>
      <c r="F148" s="58">
        <f t="shared" si="35"/>
        <v>4</v>
      </c>
      <c r="G148" s="58">
        <f t="shared" si="36"/>
        <v>4</v>
      </c>
      <c r="H148" s="58">
        <f t="shared" si="37"/>
        <v>4</v>
      </c>
      <c r="I148" s="58">
        <f t="shared" si="38"/>
        <v>4</v>
      </c>
      <c r="J148" s="58">
        <f t="shared" si="39"/>
        <v>4</v>
      </c>
      <c r="K148" s="100">
        <f t="shared" si="34"/>
        <v>1</v>
      </c>
      <c r="L148" s="58">
        <f t="shared" si="34"/>
        <v>1</v>
      </c>
      <c r="M148" s="58">
        <f t="shared" si="34"/>
        <v>1</v>
      </c>
      <c r="N148" s="58">
        <f t="shared" si="34"/>
        <v>1</v>
      </c>
      <c r="O148" s="58"/>
      <c r="P148" s="58"/>
      <c r="Q148" s="58"/>
    </row>
    <row r="149" spans="1:17" ht="43.5" customHeight="1" x14ac:dyDescent="0.25">
      <c r="A149" s="94" t="s">
        <v>614</v>
      </c>
      <c r="B149" s="58">
        <v>1144001</v>
      </c>
      <c r="C149" s="94" t="s">
        <v>522</v>
      </c>
      <c r="D149" s="92">
        <v>3</v>
      </c>
      <c r="E149" s="100">
        <f>IF($D149*$E$4&lt;1.5,1,IF($D149*$E$4&gt;=1.5,2,0))</f>
        <v>2</v>
      </c>
      <c r="F149" s="58">
        <f t="shared" si="35"/>
        <v>3</v>
      </c>
      <c r="G149" s="58">
        <f t="shared" si="36"/>
        <v>3</v>
      </c>
      <c r="H149" s="58">
        <f t="shared" si="37"/>
        <v>3</v>
      </c>
      <c r="I149" s="58">
        <f t="shared" si="38"/>
        <v>3</v>
      </c>
      <c r="J149" s="58">
        <f t="shared" si="39"/>
        <v>3</v>
      </c>
      <c r="K149" s="100">
        <f t="shared" ref="K149:N161" si="40">IF(AND($D149&gt;=0,$D149&lt;15),1,0)</f>
        <v>1</v>
      </c>
      <c r="L149" s="58">
        <f t="shared" si="40"/>
        <v>1</v>
      </c>
      <c r="M149" s="58">
        <f t="shared" si="40"/>
        <v>1</v>
      </c>
      <c r="N149" s="58">
        <f t="shared" si="40"/>
        <v>1</v>
      </c>
      <c r="O149" s="58"/>
      <c r="P149" s="58"/>
      <c r="Q149" s="58"/>
    </row>
    <row r="150" spans="1:17" ht="43.5" customHeight="1" x14ac:dyDescent="0.25">
      <c r="A150" s="94" t="s">
        <v>614</v>
      </c>
      <c r="B150" s="58">
        <v>1144002</v>
      </c>
      <c r="C150" s="94" t="s">
        <v>523</v>
      </c>
      <c r="D150" s="92">
        <v>5</v>
      </c>
      <c r="E150" s="100">
        <f>IF($D150*$E$4&lt;2.5,2,IF($D150*$E$4&gt;=2.5,3,0))</f>
        <v>3</v>
      </c>
      <c r="F150" s="58">
        <f t="shared" si="35"/>
        <v>5</v>
      </c>
      <c r="G150" s="58">
        <f t="shared" si="36"/>
        <v>5</v>
      </c>
      <c r="H150" s="58">
        <f t="shared" si="37"/>
        <v>5</v>
      </c>
      <c r="I150" s="58">
        <f t="shared" si="38"/>
        <v>5</v>
      </c>
      <c r="J150" s="58">
        <f t="shared" si="39"/>
        <v>5</v>
      </c>
      <c r="K150" s="100">
        <f t="shared" si="40"/>
        <v>1</v>
      </c>
      <c r="L150" s="58">
        <f t="shared" si="40"/>
        <v>1</v>
      </c>
      <c r="M150" s="58">
        <f t="shared" si="40"/>
        <v>1</v>
      </c>
      <c r="N150" s="58">
        <f t="shared" si="40"/>
        <v>1</v>
      </c>
      <c r="O150" s="58"/>
      <c r="P150" s="58"/>
      <c r="Q150" s="58"/>
    </row>
    <row r="151" spans="1:17" ht="43.5" customHeight="1" x14ac:dyDescent="0.25">
      <c r="A151" s="94" t="s">
        <v>614</v>
      </c>
      <c r="B151" s="58">
        <v>1144003</v>
      </c>
      <c r="C151" s="94" t="s">
        <v>524</v>
      </c>
      <c r="D151" s="92">
        <v>4</v>
      </c>
      <c r="E151" s="100">
        <f>IF($D151*$E$4&lt;2.5,2,IF($D151*$E$4&gt;=2.5,3,0))</f>
        <v>2</v>
      </c>
      <c r="F151" s="58">
        <f t="shared" si="35"/>
        <v>4</v>
      </c>
      <c r="G151" s="58">
        <f t="shared" si="36"/>
        <v>4</v>
      </c>
      <c r="H151" s="58">
        <f t="shared" si="37"/>
        <v>4</v>
      </c>
      <c r="I151" s="58">
        <f t="shared" si="38"/>
        <v>4</v>
      </c>
      <c r="J151" s="58">
        <f t="shared" si="39"/>
        <v>4</v>
      </c>
      <c r="K151" s="100">
        <f t="shared" si="40"/>
        <v>1</v>
      </c>
      <c r="L151" s="58">
        <f t="shared" si="40"/>
        <v>1</v>
      </c>
      <c r="M151" s="58">
        <f t="shared" si="40"/>
        <v>1</v>
      </c>
      <c r="N151" s="58">
        <f t="shared" si="40"/>
        <v>1</v>
      </c>
      <c r="O151" s="58"/>
      <c r="P151" s="58"/>
      <c r="Q151" s="58"/>
    </row>
    <row r="152" spans="1:17" ht="43.5" customHeight="1" x14ac:dyDescent="0.25">
      <c r="A152" s="94" t="s">
        <v>614</v>
      </c>
      <c r="B152" s="58">
        <v>1144004</v>
      </c>
      <c r="C152" s="94" t="s">
        <v>525</v>
      </c>
      <c r="D152" s="92">
        <v>0.25</v>
      </c>
      <c r="E152" s="100">
        <f t="shared" ref="E152:E157" si="41">IF($D152*$E$4&lt;1.5,1,IF($D152*$E$4&gt;=1.5,2,0))</f>
        <v>1</v>
      </c>
      <c r="F152" s="58">
        <f t="shared" si="35"/>
        <v>1</v>
      </c>
      <c r="G152" s="58">
        <f t="shared" si="36"/>
        <v>1</v>
      </c>
      <c r="H152" s="58">
        <f t="shared" si="37"/>
        <v>1</v>
      </c>
      <c r="I152" s="58">
        <f t="shared" si="38"/>
        <v>1</v>
      </c>
      <c r="J152" s="58">
        <f t="shared" si="39"/>
        <v>1</v>
      </c>
      <c r="K152" s="100">
        <f t="shared" si="40"/>
        <v>1</v>
      </c>
      <c r="L152" s="58">
        <f t="shared" si="40"/>
        <v>1</v>
      </c>
      <c r="M152" s="58">
        <f t="shared" si="40"/>
        <v>1</v>
      </c>
      <c r="N152" s="58">
        <f t="shared" si="40"/>
        <v>1</v>
      </c>
      <c r="O152" s="58"/>
      <c r="P152" s="58"/>
      <c r="Q152" s="58"/>
    </row>
    <row r="153" spans="1:17" ht="43.5" customHeight="1" x14ac:dyDescent="0.25">
      <c r="A153" s="94" t="s">
        <v>614</v>
      </c>
      <c r="B153" s="58">
        <v>1144006</v>
      </c>
      <c r="C153" s="94" t="s">
        <v>300</v>
      </c>
      <c r="D153" s="92">
        <v>1</v>
      </c>
      <c r="E153" s="100">
        <f t="shared" si="41"/>
        <v>1</v>
      </c>
      <c r="F153" s="58">
        <f t="shared" si="35"/>
        <v>1</v>
      </c>
      <c r="G153" s="58">
        <f t="shared" si="36"/>
        <v>1</v>
      </c>
      <c r="H153" s="58">
        <f t="shared" si="37"/>
        <v>1</v>
      </c>
      <c r="I153" s="58">
        <f t="shared" si="38"/>
        <v>1</v>
      </c>
      <c r="J153" s="58">
        <f t="shared" si="39"/>
        <v>1</v>
      </c>
      <c r="K153" s="100">
        <f t="shared" si="40"/>
        <v>1</v>
      </c>
      <c r="L153" s="58">
        <f t="shared" si="40"/>
        <v>1</v>
      </c>
      <c r="M153" s="58">
        <f t="shared" si="40"/>
        <v>1</v>
      </c>
      <c r="N153" s="58">
        <f t="shared" si="40"/>
        <v>1</v>
      </c>
      <c r="O153" s="58"/>
      <c r="P153" s="58"/>
      <c r="Q153" s="58"/>
    </row>
    <row r="154" spans="1:17" ht="43.5" customHeight="1" x14ac:dyDescent="0.25">
      <c r="A154" s="94" t="s">
        <v>615</v>
      </c>
      <c r="B154" s="58">
        <v>11470</v>
      </c>
      <c r="C154" s="94" t="s">
        <v>526</v>
      </c>
      <c r="D154" s="92">
        <v>3</v>
      </c>
      <c r="E154" s="100">
        <f t="shared" si="41"/>
        <v>2</v>
      </c>
      <c r="F154" s="58">
        <f t="shared" si="35"/>
        <v>3</v>
      </c>
      <c r="G154" s="58">
        <f t="shared" si="36"/>
        <v>3</v>
      </c>
      <c r="H154" s="58">
        <f t="shared" si="37"/>
        <v>3</v>
      </c>
      <c r="I154" s="58">
        <f t="shared" si="38"/>
        <v>3</v>
      </c>
      <c r="J154" s="58">
        <f t="shared" si="39"/>
        <v>3</v>
      </c>
      <c r="K154" s="100">
        <f t="shared" si="40"/>
        <v>1</v>
      </c>
      <c r="L154" s="58">
        <f t="shared" si="40"/>
        <v>1</v>
      </c>
      <c r="M154" s="58">
        <f t="shared" si="40"/>
        <v>1</v>
      </c>
      <c r="N154" s="58">
        <f t="shared" si="40"/>
        <v>1</v>
      </c>
      <c r="O154" s="58"/>
      <c r="P154" s="58"/>
      <c r="Q154" s="58"/>
    </row>
    <row r="155" spans="1:17" ht="43.5" customHeight="1" x14ac:dyDescent="0.25">
      <c r="A155" s="94" t="s">
        <v>616</v>
      </c>
      <c r="B155" s="58">
        <v>115</v>
      </c>
      <c r="C155" s="94" t="s">
        <v>527</v>
      </c>
      <c r="D155" s="92">
        <v>1</v>
      </c>
      <c r="E155" s="100">
        <f t="shared" si="41"/>
        <v>1</v>
      </c>
      <c r="F155" s="58">
        <f t="shared" si="35"/>
        <v>1</v>
      </c>
      <c r="G155" s="58">
        <f t="shared" si="36"/>
        <v>1</v>
      </c>
      <c r="H155" s="58">
        <f t="shared" si="37"/>
        <v>1</v>
      </c>
      <c r="I155" s="58">
        <f t="shared" si="38"/>
        <v>1</v>
      </c>
      <c r="J155" s="58">
        <f t="shared" si="39"/>
        <v>1</v>
      </c>
      <c r="K155" s="100">
        <f t="shared" si="40"/>
        <v>1</v>
      </c>
      <c r="L155" s="58">
        <f t="shared" si="40"/>
        <v>1</v>
      </c>
      <c r="M155" s="58">
        <f t="shared" si="40"/>
        <v>1</v>
      </c>
      <c r="N155" s="58">
        <f t="shared" si="40"/>
        <v>1</v>
      </c>
      <c r="O155" s="58"/>
      <c r="P155" s="58"/>
      <c r="Q155" s="58"/>
    </row>
    <row r="156" spans="1:17" ht="43.5" customHeight="1" x14ac:dyDescent="0.25">
      <c r="A156" s="94" t="s">
        <v>617</v>
      </c>
      <c r="B156" s="58">
        <v>115001</v>
      </c>
      <c r="C156" s="94" t="s">
        <v>528</v>
      </c>
      <c r="D156" s="92">
        <v>2</v>
      </c>
      <c r="E156" s="100">
        <f t="shared" si="41"/>
        <v>1</v>
      </c>
      <c r="F156" s="58">
        <f t="shared" si="35"/>
        <v>2</v>
      </c>
      <c r="G156" s="58">
        <f t="shared" si="36"/>
        <v>2</v>
      </c>
      <c r="H156" s="58">
        <f t="shared" si="37"/>
        <v>2</v>
      </c>
      <c r="I156" s="58">
        <f t="shared" si="38"/>
        <v>2</v>
      </c>
      <c r="J156" s="58">
        <f t="shared" si="39"/>
        <v>2</v>
      </c>
      <c r="K156" s="100">
        <f t="shared" si="40"/>
        <v>1</v>
      </c>
      <c r="L156" s="58">
        <f t="shared" si="40"/>
        <v>1</v>
      </c>
      <c r="M156" s="58">
        <f t="shared" si="40"/>
        <v>1</v>
      </c>
      <c r="N156" s="58">
        <f t="shared" si="40"/>
        <v>1</v>
      </c>
      <c r="O156" s="58"/>
      <c r="P156" s="58"/>
      <c r="Q156" s="58"/>
    </row>
    <row r="157" spans="1:17" ht="43.5" customHeight="1" x14ac:dyDescent="0.25">
      <c r="A157" s="94" t="s">
        <v>617</v>
      </c>
      <c r="B157" s="58">
        <v>1150011</v>
      </c>
      <c r="C157" s="94" t="s">
        <v>529</v>
      </c>
      <c r="D157" s="92">
        <v>3</v>
      </c>
      <c r="E157" s="100">
        <f t="shared" si="41"/>
        <v>2</v>
      </c>
      <c r="F157" s="58">
        <f t="shared" si="35"/>
        <v>3</v>
      </c>
      <c r="G157" s="58">
        <f t="shared" si="36"/>
        <v>3</v>
      </c>
      <c r="H157" s="58">
        <f t="shared" si="37"/>
        <v>3</v>
      </c>
      <c r="I157" s="58">
        <f t="shared" si="38"/>
        <v>3</v>
      </c>
      <c r="J157" s="58">
        <f t="shared" si="39"/>
        <v>3</v>
      </c>
      <c r="K157" s="100">
        <f t="shared" si="40"/>
        <v>1</v>
      </c>
      <c r="L157" s="58">
        <f t="shared" si="40"/>
        <v>1</v>
      </c>
      <c r="M157" s="58">
        <f t="shared" si="40"/>
        <v>1</v>
      </c>
      <c r="N157" s="58">
        <f t="shared" si="40"/>
        <v>1</v>
      </c>
      <c r="O157" s="58"/>
      <c r="P157" s="58"/>
      <c r="Q157" s="58"/>
    </row>
    <row r="158" spans="1:17" ht="43.5" customHeight="1" x14ac:dyDescent="0.25">
      <c r="A158" s="94" t="s">
        <v>617</v>
      </c>
      <c r="B158" s="58">
        <v>1150014</v>
      </c>
      <c r="C158" s="94" t="s">
        <v>530</v>
      </c>
      <c r="D158" s="92">
        <v>6</v>
      </c>
      <c r="E158" s="100">
        <f>IF($D158*$E$4&lt;2.5,2,IF($D158*$E$4&gt;=2.5,3,0))</f>
        <v>3</v>
      </c>
      <c r="F158" s="58">
        <f t="shared" si="35"/>
        <v>6</v>
      </c>
      <c r="G158" s="58">
        <f t="shared" si="36"/>
        <v>6</v>
      </c>
      <c r="H158" s="58">
        <f t="shared" si="37"/>
        <v>6</v>
      </c>
      <c r="I158" s="58">
        <f t="shared" si="38"/>
        <v>6</v>
      </c>
      <c r="J158" s="58">
        <f t="shared" si="39"/>
        <v>6</v>
      </c>
      <c r="K158" s="100">
        <f t="shared" si="40"/>
        <v>1</v>
      </c>
      <c r="L158" s="58">
        <f t="shared" si="40"/>
        <v>1</v>
      </c>
      <c r="M158" s="58">
        <f t="shared" si="40"/>
        <v>1</v>
      </c>
      <c r="N158" s="58">
        <f t="shared" si="40"/>
        <v>1</v>
      </c>
      <c r="O158" s="58"/>
      <c r="P158" s="58"/>
      <c r="Q158" s="58"/>
    </row>
    <row r="159" spans="1:17" ht="43.5" customHeight="1" x14ac:dyDescent="0.25">
      <c r="A159" s="94" t="s">
        <v>617</v>
      </c>
      <c r="B159" s="58">
        <v>115001401</v>
      </c>
      <c r="C159" s="94" t="s">
        <v>315</v>
      </c>
      <c r="D159" s="92">
        <v>1</v>
      </c>
      <c r="E159" s="100">
        <f>IF($D159*$E$4&lt;1.5,1,IF($D159*$E$4&gt;=1.5,2,0))</f>
        <v>1</v>
      </c>
      <c r="F159" s="58">
        <f t="shared" si="35"/>
        <v>1</v>
      </c>
      <c r="G159" s="58">
        <f t="shared" si="36"/>
        <v>1</v>
      </c>
      <c r="H159" s="58">
        <f t="shared" si="37"/>
        <v>1</v>
      </c>
      <c r="I159" s="58">
        <f t="shared" si="38"/>
        <v>1</v>
      </c>
      <c r="J159" s="58">
        <f t="shared" si="39"/>
        <v>1</v>
      </c>
      <c r="K159" s="100">
        <f t="shared" si="40"/>
        <v>1</v>
      </c>
      <c r="L159" s="58">
        <f t="shared" si="40"/>
        <v>1</v>
      </c>
      <c r="M159" s="58">
        <f t="shared" si="40"/>
        <v>1</v>
      </c>
      <c r="N159" s="58">
        <f t="shared" si="40"/>
        <v>1</v>
      </c>
      <c r="O159" s="58"/>
      <c r="P159" s="58"/>
      <c r="Q159" s="58"/>
    </row>
    <row r="160" spans="1:17" ht="43.5" customHeight="1" x14ac:dyDescent="0.25">
      <c r="A160" s="94" t="s">
        <v>617</v>
      </c>
      <c r="B160" s="58">
        <v>115001402</v>
      </c>
      <c r="C160" s="94" t="s">
        <v>531</v>
      </c>
      <c r="D160" s="92">
        <v>6.5</v>
      </c>
      <c r="E160" s="100">
        <f>IF($D160*$E$4&lt;2.5,2,IF($D160*$E$4&gt;=2.5,3,0))</f>
        <v>3</v>
      </c>
      <c r="F160" s="58">
        <f t="shared" si="35"/>
        <v>7</v>
      </c>
      <c r="G160" s="58">
        <f t="shared" si="36"/>
        <v>7</v>
      </c>
      <c r="H160" s="58">
        <f t="shared" si="37"/>
        <v>7</v>
      </c>
      <c r="I160" s="58">
        <f t="shared" si="38"/>
        <v>7</v>
      </c>
      <c r="J160" s="58">
        <f t="shared" si="39"/>
        <v>7</v>
      </c>
      <c r="K160" s="100">
        <f t="shared" si="40"/>
        <v>1</v>
      </c>
      <c r="L160" s="58">
        <f t="shared" si="40"/>
        <v>1</v>
      </c>
      <c r="M160" s="58">
        <f t="shared" si="40"/>
        <v>1</v>
      </c>
      <c r="N160" s="58">
        <f t="shared" si="40"/>
        <v>1</v>
      </c>
      <c r="O160" s="58"/>
      <c r="P160" s="58"/>
      <c r="Q160" s="58"/>
    </row>
    <row r="161" spans="1:17" ht="43.5" customHeight="1" x14ac:dyDescent="0.25">
      <c r="A161" s="94" t="s">
        <v>617</v>
      </c>
      <c r="B161" s="58">
        <v>1150016</v>
      </c>
      <c r="C161" s="94" t="s">
        <v>334</v>
      </c>
      <c r="D161" s="92">
        <v>4</v>
      </c>
      <c r="E161" s="100">
        <f>IF($D161*$E$4&lt;2.5,2,IF($D161*$E$4&gt;=2.5,3,0))</f>
        <v>2</v>
      </c>
      <c r="F161" s="58">
        <f t="shared" si="35"/>
        <v>4</v>
      </c>
      <c r="G161" s="58">
        <f t="shared" si="36"/>
        <v>4</v>
      </c>
      <c r="H161" s="58">
        <f t="shared" si="37"/>
        <v>4</v>
      </c>
      <c r="I161" s="58">
        <f t="shared" si="38"/>
        <v>4</v>
      </c>
      <c r="J161" s="58">
        <f t="shared" si="39"/>
        <v>4</v>
      </c>
      <c r="K161" s="100">
        <f t="shared" si="40"/>
        <v>1</v>
      </c>
      <c r="L161" s="58">
        <f t="shared" si="40"/>
        <v>1</v>
      </c>
      <c r="M161" s="58">
        <f t="shared" si="40"/>
        <v>1</v>
      </c>
      <c r="N161" s="58">
        <f t="shared" si="40"/>
        <v>1</v>
      </c>
      <c r="O161" s="58"/>
      <c r="P161" s="58"/>
      <c r="Q161" s="58"/>
    </row>
    <row r="162" spans="1:17" ht="43.5" customHeight="1" x14ac:dyDescent="0.25">
      <c r="A162" s="94" t="s">
        <v>616</v>
      </c>
      <c r="B162" s="58">
        <v>1150017</v>
      </c>
      <c r="C162" s="94" t="s">
        <v>532</v>
      </c>
      <c r="D162" s="92">
        <v>17</v>
      </c>
      <c r="E162" s="100">
        <f>IF($D162*$E$4&lt;8.5,8,IF($D162*$E$4&gt;=8.5,9,IF($D162*$E$4&gt;=9.5,10,0)))</f>
        <v>9</v>
      </c>
      <c r="F162" s="58">
        <f t="shared" si="35"/>
        <v>17</v>
      </c>
      <c r="G162" s="58">
        <f t="shared" si="36"/>
        <v>17</v>
      </c>
      <c r="H162" s="58">
        <f t="shared" si="37"/>
        <v>17</v>
      </c>
      <c r="I162" s="58">
        <f t="shared" si="38"/>
        <v>17</v>
      </c>
      <c r="J162" s="58">
        <f t="shared" si="39"/>
        <v>17</v>
      </c>
      <c r="K162" s="100">
        <f>IF(AND($D162&gt;=15,$D162&lt;25),2,0)</f>
        <v>2</v>
      </c>
      <c r="L162" s="58">
        <f>IF(AND($D162&gt;=15,$D162&lt;25),2,0)</f>
        <v>2</v>
      </c>
      <c r="M162" s="58">
        <f>IF(AND($D162&gt;=15,$D162&lt;25),2,0)</f>
        <v>2</v>
      </c>
      <c r="N162" s="58">
        <f>IF(AND($D162&gt;=15,$D162&lt;25),2,0)</f>
        <v>2</v>
      </c>
      <c r="O162" s="58"/>
      <c r="P162" s="58"/>
      <c r="Q162" s="58"/>
    </row>
    <row r="163" spans="1:17" ht="43.5" customHeight="1" x14ac:dyDescent="0.25">
      <c r="A163" s="94" t="s">
        <v>616</v>
      </c>
      <c r="B163" s="58">
        <v>115002</v>
      </c>
      <c r="C163" s="94" t="s">
        <v>533</v>
      </c>
      <c r="D163" s="92">
        <v>13</v>
      </c>
      <c r="E163" s="100">
        <f>IF($D163*$E$4&lt;6.5,6,IF($D163*$E$4&gt;=6.5,7,IF($D163*$E$4&lt;7.5,7,IF($D163*$E$4&gt;=7.5,8,0))))</f>
        <v>7</v>
      </c>
      <c r="F163" s="58">
        <f t="shared" si="35"/>
        <v>13</v>
      </c>
      <c r="G163" s="58">
        <f t="shared" si="36"/>
        <v>13</v>
      </c>
      <c r="H163" s="58">
        <f t="shared" si="37"/>
        <v>13</v>
      </c>
      <c r="I163" s="58">
        <f t="shared" si="38"/>
        <v>13</v>
      </c>
      <c r="J163" s="58">
        <f t="shared" si="39"/>
        <v>13</v>
      </c>
      <c r="K163" s="100">
        <f t="shared" ref="K163:N169" si="42">IF(AND($D163&gt;=0,$D163&lt;15),1,0)</f>
        <v>1</v>
      </c>
      <c r="L163" s="58">
        <f t="shared" si="42"/>
        <v>1</v>
      </c>
      <c r="M163" s="58">
        <f t="shared" si="42"/>
        <v>1</v>
      </c>
      <c r="N163" s="58">
        <f t="shared" si="42"/>
        <v>1</v>
      </c>
      <c r="O163" s="58"/>
      <c r="P163" s="58"/>
      <c r="Q163" s="58"/>
    </row>
    <row r="164" spans="1:17" ht="43.5" customHeight="1" x14ac:dyDescent="0.25">
      <c r="A164" s="94" t="s">
        <v>618</v>
      </c>
      <c r="B164" s="58">
        <v>115003</v>
      </c>
      <c r="C164" s="94" t="s">
        <v>534</v>
      </c>
      <c r="D164" s="92">
        <v>1</v>
      </c>
      <c r="E164" s="100">
        <f>IF($D164*$E$4&lt;1.5,1,IF($D164*$E$4&gt;=1.5,2,0))</f>
        <v>1</v>
      </c>
      <c r="F164" s="58">
        <f t="shared" si="35"/>
        <v>1</v>
      </c>
      <c r="G164" s="58">
        <f t="shared" si="36"/>
        <v>1</v>
      </c>
      <c r="H164" s="58">
        <f t="shared" si="37"/>
        <v>1</v>
      </c>
      <c r="I164" s="58">
        <f t="shared" si="38"/>
        <v>1</v>
      </c>
      <c r="J164" s="58">
        <f t="shared" si="39"/>
        <v>1</v>
      </c>
      <c r="K164" s="100">
        <f t="shared" si="42"/>
        <v>1</v>
      </c>
      <c r="L164" s="58">
        <f t="shared" si="42"/>
        <v>1</v>
      </c>
      <c r="M164" s="58">
        <f t="shared" si="42"/>
        <v>1</v>
      </c>
      <c r="N164" s="58">
        <f t="shared" si="42"/>
        <v>1</v>
      </c>
      <c r="O164" s="58"/>
      <c r="P164" s="58"/>
      <c r="Q164" s="58"/>
    </row>
    <row r="165" spans="1:17" ht="43.5" customHeight="1" x14ac:dyDescent="0.25">
      <c r="A165" s="94" t="s">
        <v>618</v>
      </c>
      <c r="B165" s="58">
        <v>11500301</v>
      </c>
      <c r="C165" s="94" t="s">
        <v>535</v>
      </c>
      <c r="D165" s="92">
        <v>5</v>
      </c>
      <c r="E165" s="100">
        <f>IF($D165*$E$4&lt;2.5,2,IF($D165*$E$4&gt;=2.5,3,0))</f>
        <v>3</v>
      </c>
      <c r="F165" s="58">
        <f t="shared" si="35"/>
        <v>5</v>
      </c>
      <c r="G165" s="58">
        <f t="shared" si="36"/>
        <v>5</v>
      </c>
      <c r="H165" s="58">
        <f t="shared" si="37"/>
        <v>5</v>
      </c>
      <c r="I165" s="58">
        <f t="shared" si="38"/>
        <v>5</v>
      </c>
      <c r="J165" s="58">
        <f t="shared" si="39"/>
        <v>5</v>
      </c>
      <c r="K165" s="100">
        <f t="shared" si="42"/>
        <v>1</v>
      </c>
      <c r="L165" s="58">
        <f t="shared" si="42"/>
        <v>1</v>
      </c>
      <c r="M165" s="58">
        <f t="shared" si="42"/>
        <v>1</v>
      </c>
      <c r="N165" s="58">
        <f t="shared" si="42"/>
        <v>1</v>
      </c>
      <c r="O165" s="58"/>
      <c r="P165" s="58"/>
      <c r="Q165" s="58"/>
    </row>
    <row r="166" spans="1:17" ht="43.5" customHeight="1" x14ac:dyDescent="0.25">
      <c r="A166" s="94" t="s">
        <v>618</v>
      </c>
      <c r="B166" s="58">
        <v>11500302</v>
      </c>
      <c r="C166" s="94" t="s">
        <v>324</v>
      </c>
      <c r="D166" s="92">
        <v>6</v>
      </c>
      <c r="E166" s="100">
        <f>IF($D166*$E$4&lt;2.5,2,IF($D166*$E$4&gt;=2.5,3,0))</f>
        <v>3</v>
      </c>
      <c r="F166" s="58">
        <f t="shared" si="35"/>
        <v>6</v>
      </c>
      <c r="G166" s="58">
        <f t="shared" si="36"/>
        <v>6</v>
      </c>
      <c r="H166" s="58">
        <f t="shared" si="37"/>
        <v>6</v>
      </c>
      <c r="I166" s="58">
        <f t="shared" si="38"/>
        <v>6</v>
      </c>
      <c r="J166" s="58">
        <f t="shared" si="39"/>
        <v>6</v>
      </c>
      <c r="K166" s="100">
        <f t="shared" si="42"/>
        <v>1</v>
      </c>
      <c r="L166" s="58">
        <f t="shared" si="42"/>
        <v>1</v>
      </c>
      <c r="M166" s="58">
        <f t="shared" si="42"/>
        <v>1</v>
      </c>
      <c r="N166" s="58">
        <f t="shared" si="42"/>
        <v>1</v>
      </c>
      <c r="O166" s="58"/>
      <c r="P166" s="58"/>
      <c r="Q166" s="58"/>
    </row>
    <row r="167" spans="1:17" ht="43.5" customHeight="1" x14ac:dyDescent="0.25">
      <c r="A167" s="94" t="s">
        <v>618</v>
      </c>
      <c r="B167" s="58">
        <v>11500304</v>
      </c>
      <c r="C167" s="94" t="s">
        <v>536</v>
      </c>
      <c r="D167" s="92">
        <v>9.3000000000000007</v>
      </c>
      <c r="E167" s="100">
        <f>IF($D167*$E$4&lt;3.5,3,IF($D167*$E$4&lt;4.5,4,IF($D167*$E$4&gt;=4.5,5,0)))</f>
        <v>5</v>
      </c>
      <c r="F167" s="58">
        <f t="shared" si="35"/>
        <v>9</v>
      </c>
      <c r="G167" s="58">
        <f t="shared" si="36"/>
        <v>9</v>
      </c>
      <c r="H167" s="58">
        <f t="shared" si="37"/>
        <v>9</v>
      </c>
      <c r="I167" s="58">
        <f t="shared" si="38"/>
        <v>9</v>
      </c>
      <c r="J167" s="58">
        <f t="shared" si="39"/>
        <v>9</v>
      </c>
      <c r="K167" s="100">
        <f t="shared" si="42"/>
        <v>1</v>
      </c>
      <c r="L167" s="58">
        <f t="shared" si="42"/>
        <v>1</v>
      </c>
      <c r="M167" s="58">
        <f t="shared" si="42"/>
        <v>1</v>
      </c>
      <c r="N167" s="58">
        <f t="shared" si="42"/>
        <v>1</v>
      </c>
      <c r="O167" s="58"/>
      <c r="P167" s="58"/>
      <c r="Q167" s="58"/>
    </row>
    <row r="168" spans="1:17" ht="43.5" customHeight="1" x14ac:dyDescent="0.25">
      <c r="A168" s="94" t="s">
        <v>619</v>
      </c>
      <c r="B168" s="58">
        <v>11503</v>
      </c>
      <c r="C168" s="94" t="s">
        <v>537</v>
      </c>
      <c r="D168" s="92">
        <v>4.25</v>
      </c>
      <c r="E168" s="100">
        <f>IF($D168*$E$4&lt;2.5,2,IF($D168*$E$4&gt;=2.5,3,0))</f>
        <v>2</v>
      </c>
      <c r="F168" s="58">
        <f t="shared" si="35"/>
        <v>4</v>
      </c>
      <c r="G168" s="58">
        <f t="shared" si="36"/>
        <v>4</v>
      </c>
      <c r="H168" s="58">
        <f t="shared" si="37"/>
        <v>4</v>
      </c>
      <c r="I168" s="58">
        <f t="shared" si="38"/>
        <v>4</v>
      </c>
      <c r="J168" s="58">
        <f t="shared" si="39"/>
        <v>4</v>
      </c>
      <c r="K168" s="100">
        <f t="shared" si="42"/>
        <v>1</v>
      </c>
      <c r="L168" s="58">
        <f t="shared" si="42"/>
        <v>1</v>
      </c>
      <c r="M168" s="58">
        <f t="shared" si="42"/>
        <v>1</v>
      </c>
      <c r="N168" s="58">
        <f t="shared" si="42"/>
        <v>1</v>
      </c>
      <c r="O168" s="58"/>
      <c r="P168" s="58"/>
      <c r="Q168" s="58"/>
    </row>
    <row r="169" spans="1:17" ht="43.5" customHeight="1" x14ac:dyDescent="0.25">
      <c r="A169" s="94" t="s">
        <v>619</v>
      </c>
      <c r="B169" s="58">
        <v>1150301</v>
      </c>
      <c r="C169" s="94" t="s">
        <v>538</v>
      </c>
      <c r="D169" s="92">
        <v>1.5</v>
      </c>
      <c r="E169" s="100">
        <f>IF($D169*$E$4&lt;1.5,1,IF($D169*$E$4&gt;=1.5,2,0))</f>
        <v>1</v>
      </c>
      <c r="F169" s="58">
        <f t="shared" si="35"/>
        <v>2</v>
      </c>
      <c r="G169" s="58">
        <f t="shared" si="36"/>
        <v>2</v>
      </c>
      <c r="H169" s="58">
        <f t="shared" si="37"/>
        <v>2</v>
      </c>
      <c r="I169" s="58">
        <f t="shared" si="38"/>
        <v>2</v>
      </c>
      <c r="J169" s="58">
        <f t="shared" si="39"/>
        <v>2</v>
      </c>
      <c r="K169" s="100">
        <f t="shared" si="42"/>
        <v>1</v>
      </c>
      <c r="L169" s="58">
        <f t="shared" si="42"/>
        <v>1</v>
      </c>
      <c r="M169" s="58">
        <f t="shared" si="42"/>
        <v>1</v>
      </c>
      <c r="N169" s="58">
        <f t="shared" si="42"/>
        <v>1</v>
      </c>
      <c r="O169" s="58"/>
      <c r="P169" s="58"/>
      <c r="Q169" s="58"/>
    </row>
    <row r="170" spans="1:17" ht="43.5" customHeight="1" x14ac:dyDescent="0.25">
      <c r="A170" s="94" t="s">
        <v>620</v>
      </c>
      <c r="B170" s="58">
        <v>116</v>
      </c>
      <c r="C170" s="94" t="s">
        <v>343</v>
      </c>
      <c r="D170" s="92">
        <v>1</v>
      </c>
      <c r="E170" s="100">
        <f>IF($D170*$E$4&lt;1.5,1,IF($D170*$E$4&gt;=1.5,2,0))</f>
        <v>1</v>
      </c>
      <c r="F170" s="58">
        <f t="shared" si="35"/>
        <v>1</v>
      </c>
      <c r="G170" s="58">
        <f t="shared" si="36"/>
        <v>1</v>
      </c>
      <c r="H170" s="58">
        <f t="shared" si="37"/>
        <v>1</v>
      </c>
      <c r="I170" s="58">
        <f t="shared" si="38"/>
        <v>1</v>
      </c>
      <c r="J170" s="58">
        <f t="shared" si="39"/>
        <v>1</v>
      </c>
      <c r="K170" s="100">
        <f t="shared" ref="K170:N184" si="43">ROUNDUP($D170*K$4,0)</f>
        <v>1</v>
      </c>
      <c r="L170" s="58">
        <f t="shared" si="43"/>
        <v>1</v>
      </c>
      <c r="M170" s="58">
        <f t="shared" si="43"/>
        <v>1</v>
      </c>
      <c r="N170" s="100">
        <f t="shared" si="43"/>
        <v>1</v>
      </c>
      <c r="O170" s="58"/>
      <c r="P170" s="58"/>
      <c r="Q170" s="58"/>
    </row>
    <row r="171" spans="1:17" ht="43.5" customHeight="1" x14ac:dyDescent="0.25">
      <c r="A171" s="94" t="s">
        <v>621</v>
      </c>
      <c r="B171" s="58">
        <v>11630</v>
      </c>
      <c r="C171" s="94" t="s">
        <v>539</v>
      </c>
      <c r="D171" s="92">
        <v>1</v>
      </c>
      <c r="E171" s="100">
        <f>IF($D171*$E$4&lt;1.5,1,IF($D171*$E$4&gt;=1.5,2,0))</f>
        <v>1</v>
      </c>
      <c r="F171" s="58">
        <f t="shared" si="35"/>
        <v>1</v>
      </c>
      <c r="G171" s="58">
        <f t="shared" si="36"/>
        <v>1</v>
      </c>
      <c r="H171" s="58">
        <f t="shared" si="37"/>
        <v>1</v>
      </c>
      <c r="I171" s="58">
        <f t="shared" si="38"/>
        <v>1</v>
      </c>
      <c r="J171" s="58">
        <f t="shared" si="39"/>
        <v>1</v>
      </c>
      <c r="K171" s="100">
        <f t="shared" si="43"/>
        <v>1</v>
      </c>
      <c r="L171" s="58">
        <f t="shared" si="43"/>
        <v>1</v>
      </c>
      <c r="M171" s="58">
        <f t="shared" si="43"/>
        <v>1</v>
      </c>
      <c r="N171" s="100">
        <f t="shared" si="43"/>
        <v>1</v>
      </c>
      <c r="O171" s="58"/>
      <c r="P171" s="58"/>
      <c r="Q171" s="58"/>
    </row>
    <row r="172" spans="1:17" ht="43.5" customHeight="1" x14ac:dyDescent="0.25">
      <c r="A172" s="94" t="s">
        <v>621</v>
      </c>
      <c r="B172" s="58">
        <v>11630001</v>
      </c>
      <c r="C172" s="94" t="s">
        <v>540</v>
      </c>
      <c r="D172" s="92">
        <v>8</v>
      </c>
      <c r="E172" s="100">
        <f>IF($D172*$E$4&lt;3.5,3,IF($D172*$E$4&lt;4.5,4,IF($D172*$E$4&gt;=4.5,5,0)))</f>
        <v>4</v>
      </c>
      <c r="F172" s="58">
        <f t="shared" si="35"/>
        <v>8</v>
      </c>
      <c r="G172" s="58">
        <f t="shared" si="36"/>
        <v>8</v>
      </c>
      <c r="H172" s="58">
        <f t="shared" si="37"/>
        <v>8</v>
      </c>
      <c r="I172" s="58">
        <f t="shared" si="38"/>
        <v>8</v>
      </c>
      <c r="J172" s="58">
        <f t="shared" si="39"/>
        <v>8</v>
      </c>
      <c r="K172" s="100">
        <f t="shared" si="43"/>
        <v>8</v>
      </c>
      <c r="L172" s="58">
        <f t="shared" si="43"/>
        <v>8</v>
      </c>
      <c r="M172" s="58">
        <f t="shared" si="43"/>
        <v>8</v>
      </c>
      <c r="N172" s="100">
        <f t="shared" si="43"/>
        <v>8</v>
      </c>
      <c r="O172" s="58"/>
      <c r="P172" s="58"/>
      <c r="Q172" s="58"/>
    </row>
    <row r="173" spans="1:17" ht="43.5" customHeight="1" x14ac:dyDescent="0.25">
      <c r="A173" s="94" t="s">
        <v>621</v>
      </c>
      <c r="B173" s="58">
        <v>11630002</v>
      </c>
      <c r="C173" s="94" t="s">
        <v>346</v>
      </c>
      <c r="D173" s="92">
        <v>4</v>
      </c>
      <c r="E173" s="100">
        <f>IF($D173*$E$4&lt;2.5,2,IF($D173*$E$4&gt;=2.5,3,0))</f>
        <v>2</v>
      </c>
      <c r="F173" s="58">
        <f t="shared" si="35"/>
        <v>4</v>
      </c>
      <c r="G173" s="58">
        <f t="shared" si="36"/>
        <v>4</v>
      </c>
      <c r="H173" s="58">
        <f t="shared" si="37"/>
        <v>4</v>
      </c>
      <c r="I173" s="58">
        <f t="shared" si="38"/>
        <v>4</v>
      </c>
      <c r="J173" s="58">
        <f t="shared" si="39"/>
        <v>4</v>
      </c>
      <c r="K173" s="100">
        <f t="shared" si="43"/>
        <v>4</v>
      </c>
      <c r="L173" s="58">
        <f t="shared" si="43"/>
        <v>4</v>
      </c>
      <c r="M173" s="58">
        <f t="shared" si="43"/>
        <v>4</v>
      </c>
      <c r="N173" s="100">
        <f t="shared" si="43"/>
        <v>4</v>
      </c>
      <c r="O173" s="58"/>
      <c r="P173" s="58"/>
      <c r="Q173" s="58"/>
    </row>
    <row r="174" spans="1:17" ht="43.5" customHeight="1" x14ac:dyDescent="0.25">
      <c r="A174" s="94" t="s">
        <v>621</v>
      </c>
      <c r="B174" s="58">
        <v>11630003</v>
      </c>
      <c r="C174" s="94" t="s">
        <v>541</v>
      </c>
      <c r="D174" s="92">
        <v>1</v>
      </c>
      <c r="E174" s="100">
        <f>IF($D174*$E$4&lt;1.5,1,IF($D174*$E$4&gt;=1.5,2,0))</f>
        <v>1</v>
      </c>
      <c r="F174" s="58">
        <f t="shared" si="35"/>
        <v>1</v>
      </c>
      <c r="G174" s="58">
        <f t="shared" si="36"/>
        <v>1</v>
      </c>
      <c r="H174" s="58">
        <f t="shared" si="37"/>
        <v>1</v>
      </c>
      <c r="I174" s="58">
        <f t="shared" si="38"/>
        <v>1</v>
      </c>
      <c r="J174" s="58">
        <f t="shared" si="39"/>
        <v>1</v>
      </c>
      <c r="K174" s="100">
        <f t="shared" si="43"/>
        <v>1</v>
      </c>
      <c r="L174" s="58">
        <f t="shared" si="43"/>
        <v>1</v>
      </c>
      <c r="M174" s="58">
        <f t="shared" si="43"/>
        <v>1</v>
      </c>
      <c r="N174" s="100">
        <f t="shared" si="43"/>
        <v>1</v>
      </c>
      <c r="O174" s="58"/>
      <c r="P174" s="58"/>
      <c r="Q174" s="58"/>
    </row>
    <row r="175" spans="1:17" ht="43.5" customHeight="1" x14ac:dyDescent="0.25">
      <c r="A175" s="94" t="s">
        <v>621</v>
      </c>
      <c r="B175" s="58">
        <v>1163000324</v>
      </c>
      <c r="C175" s="94" t="s">
        <v>348</v>
      </c>
      <c r="D175" s="92">
        <v>4</v>
      </c>
      <c r="E175" s="100">
        <f>IF($D175*$E$4&lt;2.5,2,IF($D175*$E$4&gt;=2.5,3,0))</f>
        <v>2</v>
      </c>
      <c r="F175" s="58">
        <f t="shared" si="35"/>
        <v>4</v>
      </c>
      <c r="G175" s="58">
        <f t="shared" si="36"/>
        <v>4</v>
      </c>
      <c r="H175" s="58">
        <f t="shared" si="37"/>
        <v>4</v>
      </c>
      <c r="I175" s="58">
        <f t="shared" si="38"/>
        <v>4</v>
      </c>
      <c r="J175" s="58">
        <f t="shared" si="39"/>
        <v>4</v>
      </c>
      <c r="K175" s="100">
        <f t="shared" si="43"/>
        <v>4</v>
      </c>
      <c r="L175" s="58">
        <f t="shared" si="43"/>
        <v>4</v>
      </c>
      <c r="M175" s="58">
        <f t="shared" si="43"/>
        <v>4</v>
      </c>
      <c r="N175" s="100">
        <f t="shared" si="43"/>
        <v>4</v>
      </c>
      <c r="O175" s="58"/>
      <c r="P175" s="58"/>
      <c r="Q175" s="58"/>
    </row>
    <row r="176" spans="1:17" ht="43.5" customHeight="1" x14ac:dyDescent="0.25">
      <c r="A176" s="94" t="s">
        <v>621</v>
      </c>
      <c r="B176" s="58">
        <v>1163000325</v>
      </c>
      <c r="C176" s="94" t="s">
        <v>542</v>
      </c>
      <c r="D176" s="92">
        <v>4.75</v>
      </c>
      <c r="E176" s="100">
        <f>IF($D176*$E$4&lt;2.5,2,IF($D176*$E$4&gt;=2.5,3,0))</f>
        <v>2</v>
      </c>
      <c r="F176" s="58">
        <f t="shared" si="35"/>
        <v>5</v>
      </c>
      <c r="G176" s="58">
        <f t="shared" si="36"/>
        <v>5</v>
      </c>
      <c r="H176" s="58">
        <f t="shared" si="37"/>
        <v>5</v>
      </c>
      <c r="I176" s="58">
        <f t="shared" si="38"/>
        <v>5</v>
      </c>
      <c r="J176" s="58">
        <f t="shared" si="39"/>
        <v>5</v>
      </c>
      <c r="K176" s="100">
        <f t="shared" si="43"/>
        <v>5</v>
      </c>
      <c r="L176" s="58">
        <f t="shared" si="43"/>
        <v>5</v>
      </c>
      <c r="M176" s="58">
        <f t="shared" si="43"/>
        <v>5</v>
      </c>
      <c r="N176" s="100">
        <f t="shared" si="43"/>
        <v>5</v>
      </c>
      <c r="O176" s="58"/>
      <c r="P176" s="58"/>
      <c r="Q176" s="58"/>
    </row>
    <row r="177" spans="1:17" ht="43.5" customHeight="1" x14ac:dyDescent="0.25">
      <c r="A177" s="94" t="s">
        <v>621</v>
      </c>
      <c r="B177" s="58">
        <v>1163000326</v>
      </c>
      <c r="C177" s="94" t="s">
        <v>350</v>
      </c>
      <c r="D177" s="92">
        <v>3</v>
      </c>
      <c r="E177" s="100">
        <f>IF($D177*$E$4&lt;1.5,1,IF($D177*$E$4&gt;=1.5,2,0))</f>
        <v>2</v>
      </c>
      <c r="F177" s="58">
        <f t="shared" si="35"/>
        <v>3</v>
      </c>
      <c r="G177" s="58">
        <f t="shared" si="36"/>
        <v>3</v>
      </c>
      <c r="H177" s="58">
        <f t="shared" si="37"/>
        <v>3</v>
      </c>
      <c r="I177" s="58">
        <f t="shared" si="38"/>
        <v>3</v>
      </c>
      <c r="J177" s="58">
        <f t="shared" si="39"/>
        <v>3</v>
      </c>
      <c r="K177" s="100">
        <f t="shared" si="43"/>
        <v>3</v>
      </c>
      <c r="L177" s="58">
        <f t="shared" si="43"/>
        <v>3</v>
      </c>
      <c r="M177" s="58">
        <f t="shared" si="43"/>
        <v>3</v>
      </c>
      <c r="N177" s="100">
        <f t="shared" si="43"/>
        <v>3</v>
      </c>
      <c r="O177" s="58"/>
      <c r="P177" s="58"/>
      <c r="Q177" s="58"/>
    </row>
    <row r="178" spans="1:17" ht="43.5" customHeight="1" x14ac:dyDescent="0.25">
      <c r="A178" s="94" t="s">
        <v>621</v>
      </c>
      <c r="B178" s="58">
        <v>11630004</v>
      </c>
      <c r="C178" s="94" t="s">
        <v>543</v>
      </c>
      <c r="D178" s="92">
        <v>10.25</v>
      </c>
      <c r="E178" s="100">
        <f>IF($D178*$E$4&lt;3.5,3,IF($D178*$E$4&lt;4.5,4,IF($D178*$E$4&gt;=4.5,5,0)))</f>
        <v>5</v>
      </c>
      <c r="F178" s="58">
        <f t="shared" si="35"/>
        <v>10</v>
      </c>
      <c r="G178" s="58">
        <f t="shared" si="36"/>
        <v>10</v>
      </c>
      <c r="H178" s="58">
        <f t="shared" si="37"/>
        <v>10</v>
      </c>
      <c r="I178" s="58">
        <f t="shared" si="38"/>
        <v>10</v>
      </c>
      <c r="J178" s="58">
        <f t="shared" si="39"/>
        <v>10</v>
      </c>
      <c r="K178" s="100">
        <f t="shared" si="43"/>
        <v>11</v>
      </c>
      <c r="L178" s="58">
        <f t="shared" si="43"/>
        <v>11</v>
      </c>
      <c r="M178" s="58">
        <f t="shared" si="43"/>
        <v>11</v>
      </c>
      <c r="N178" s="100">
        <f t="shared" si="43"/>
        <v>11</v>
      </c>
      <c r="O178" s="58"/>
      <c r="P178" s="58"/>
      <c r="Q178" s="58"/>
    </row>
    <row r="179" spans="1:17" ht="43.5" customHeight="1" x14ac:dyDescent="0.25">
      <c r="A179" s="94" t="s">
        <v>622</v>
      </c>
      <c r="B179" s="58">
        <v>11640</v>
      </c>
      <c r="C179" s="94" t="s">
        <v>544</v>
      </c>
      <c r="D179" s="107">
        <v>3</v>
      </c>
      <c r="E179" s="100">
        <f>IF($D179*$E$4&lt;1.5,1,IF($D179*$E$4&gt;=1.5,2,0))*4</f>
        <v>8</v>
      </c>
      <c r="F179" s="58">
        <f t="shared" si="35"/>
        <v>3</v>
      </c>
      <c r="G179" s="58">
        <f t="shared" si="36"/>
        <v>3</v>
      </c>
      <c r="H179" s="58">
        <f t="shared" si="37"/>
        <v>3</v>
      </c>
      <c r="I179" s="58">
        <f t="shared" si="38"/>
        <v>3</v>
      </c>
      <c r="J179" s="58">
        <f t="shared" si="39"/>
        <v>3</v>
      </c>
      <c r="K179" s="100">
        <f t="shared" si="43"/>
        <v>3</v>
      </c>
      <c r="L179" s="58">
        <f t="shared" si="43"/>
        <v>3</v>
      </c>
      <c r="M179" s="58">
        <f t="shared" si="43"/>
        <v>3</v>
      </c>
      <c r="N179" s="100">
        <f t="shared" si="43"/>
        <v>3</v>
      </c>
      <c r="O179" s="58"/>
      <c r="P179" s="58"/>
      <c r="Q179" s="58"/>
    </row>
    <row r="180" spans="1:17" ht="43.5" customHeight="1" x14ac:dyDescent="0.25">
      <c r="A180" s="94" t="s">
        <v>622</v>
      </c>
      <c r="B180" s="58">
        <v>1164001</v>
      </c>
      <c r="C180" s="94" t="s">
        <v>353</v>
      </c>
      <c r="D180" s="107">
        <v>9</v>
      </c>
      <c r="E180" s="100">
        <f>IF($D180*$E$4&lt;3.5,3,IF($D180*$E$4&lt;4.5,4,IF($D180*$E$4&gt;=4.5,5,0)))*3</f>
        <v>15</v>
      </c>
      <c r="F180" s="58">
        <f t="shared" si="35"/>
        <v>9</v>
      </c>
      <c r="G180" s="58">
        <f t="shared" si="36"/>
        <v>9</v>
      </c>
      <c r="H180" s="58">
        <f t="shared" si="37"/>
        <v>9</v>
      </c>
      <c r="I180" s="58">
        <f t="shared" si="38"/>
        <v>9</v>
      </c>
      <c r="J180" s="58">
        <f t="shared" si="39"/>
        <v>9</v>
      </c>
      <c r="K180" s="100">
        <f t="shared" si="43"/>
        <v>9</v>
      </c>
      <c r="L180" s="58">
        <f t="shared" si="43"/>
        <v>9</v>
      </c>
      <c r="M180" s="58">
        <f t="shared" si="43"/>
        <v>9</v>
      </c>
      <c r="N180" s="100">
        <f t="shared" si="43"/>
        <v>9</v>
      </c>
      <c r="O180" s="58"/>
      <c r="P180" s="58"/>
      <c r="Q180" s="58"/>
    </row>
    <row r="181" spans="1:17" ht="43.5" customHeight="1" x14ac:dyDescent="0.25">
      <c r="A181" s="94" t="s">
        <v>622</v>
      </c>
      <c r="B181" s="58">
        <v>1164002</v>
      </c>
      <c r="C181" s="94" t="s">
        <v>354</v>
      </c>
      <c r="D181" s="107">
        <v>6</v>
      </c>
      <c r="E181" s="100">
        <f>IF($D181*$E$4&lt;2.5,2,IF($D181*$E$4&gt;=2.5,3,0))*3</f>
        <v>9</v>
      </c>
      <c r="F181" s="58">
        <f t="shared" si="35"/>
        <v>6</v>
      </c>
      <c r="G181" s="58">
        <f t="shared" si="36"/>
        <v>6</v>
      </c>
      <c r="H181" s="58">
        <f t="shared" si="37"/>
        <v>6</v>
      </c>
      <c r="I181" s="58">
        <f t="shared" si="38"/>
        <v>6</v>
      </c>
      <c r="J181" s="58">
        <f t="shared" si="39"/>
        <v>6</v>
      </c>
      <c r="K181" s="100">
        <f t="shared" si="43"/>
        <v>6</v>
      </c>
      <c r="L181" s="58">
        <f t="shared" si="43"/>
        <v>6</v>
      </c>
      <c r="M181" s="58">
        <f t="shared" si="43"/>
        <v>6</v>
      </c>
      <c r="N181" s="100">
        <f t="shared" si="43"/>
        <v>6</v>
      </c>
      <c r="O181" s="58"/>
      <c r="P181" s="58"/>
      <c r="Q181" s="58"/>
    </row>
    <row r="182" spans="1:17" ht="43.5" customHeight="1" x14ac:dyDescent="0.25">
      <c r="A182" s="94" t="s">
        <v>622</v>
      </c>
      <c r="B182" s="58">
        <v>1164003</v>
      </c>
      <c r="C182" s="94" t="s">
        <v>545</v>
      </c>
      <c r="D182" s="107">
        <v>4</v>
      </c>
      <c r="E182" s="100">
        <f>IF($D182*$E$4&lt;2.5,2,IF($D182*$E$4&gt;=2.5,3,0))*4</f>
        <v>8</v>
      </c>
      <c r="F182" s="58">
        <f t="shared" si="35"/>
        <v>4</v>
      </c>
      <c r="G182" s="58">
        <f t="shared" si="36"/>
        <v>4</v>
      </c>
      <c r="H182" s="58">
        <f t="shared" si="37"/>
        <v>4</v>
      </c>
      <c r="I182" s="58">
        <f t="shared" si="38"/>
        <v>4</v>
      </c>
      <c r="J182" s="58">
        <f t="shared" si="39"/>
        <v>4</v>
      </c>
      <c r="K182" s="100">
        <f t="shared" si="43"/>
        <v>4</v>
      </c>
      <c r="L182" s="58">
        <f t="shared" si="43"/>
        <v>4</v>
      </c>
      <c r="M182" s="58">
        <f t="shared" si="43"/>
        <v>4</v>
      </c>
      <c r="N182" s="100">
        <f t="shared" si="43"/>
        <v>4</v>
      </c>
      <c r="O182" s="58"/>
      <c r="P182" s="58"/>
      <c r="Q182" s="58"/>
    </row>
    <row r="183" spans="1:17" ht="43.5" customHeight="1" x14ac:dyDescent="0.25">
      <c r="A183" s="94" t="s">
        <v>622</v>
      </c>
      <c r="B183" s="58">
        <v>1164004</v>
      </c>
      <c r="C183" s="94" t="s">
        <v>546</v>
      </c>
      <c r="D183" s="107">
        <v>5</v>
      </c>
      <c r="E183" s="100">
        <f>IF($D183*$E$4&lt;2.5,2,IF($D183*$E$4&gt;=2.5,3,0))*10</f>
        <v>30</v>
      </c>
      <c r="F183" s="58">
        <f t="shared" si="35"/>
        <v>5</v>
      </c>
      <c r="G183" s="58">
        <f t="shared" si="36"/>
        <v>5</v>
      </c>
      <c r="H183" s="58">
        <f t="shared" si="37"/>
        <v>5</v>
      </c>
      <c r="I183" s="58">
        <f t="shared" si="38"/>
        <v>5</v>
      </c>
      <c r="J183" s="58">
        <f t="shared" si="39"/>
        <v>5</v>
      </c>
      <c r="K183" s="100">
        <f t="shared" si="43"/>
        <v>5</v>
      </c>
      <c r="L183" s="58">
        <f t="shared" si="43"/>
        <v>5</v>
      </c>
      <c r="M183" s="58">
        <f t="shared" si="43"/>
        <v>5</v>
      </c>
      <c r="N183" s="100">
        <f t="shared" si="43"/>
        <v>5</v>
      </c>
      <c r="O183" s="58"/>
      <c r="P183" s="58"/>
      <c r="Q183" s="58"/>
    </row>
    <row r="184" spans="1:17" ht="43.5" customHeight="1" x14ac:dyDescent="0.25">
      <c r="A184" s="94" t="s">
        <v>622</v>
      </c>
      <c r="B184" s="58">
        <v>1164005</v>
      </c>
      <c r="C184" s="94" t="s">
        <v>547</v>
      </c>
      <c r="D184" s="92">
        <v>1</v>
      </c>
      <c r="E184" s="100">
        <f t="shared" ref="E184:E192" si="44">IF($D184*$E$4&lt;1.5,1,IF($D184*$E$4&gt;=1.5,2,0))</f>
        <v>1</v>
      </c>
      <c r="F184" s="58">
        <f t="shared" si="35"/>
        <v>1</v>
      </c>
      <c r="G184" s="58">
        <f t="shared" si="36"/>
        <v>1</v>
      </c>
      <c r="H184" s="58">
        <f t="shared" si="37"/>
        <v>1</v>
      </c>
      <c r="I184" s="58">
        <f t="shared" si="38"/>
        <v>1</v>
      </c>
      <c r="J184" s="58">
        <f t="shared" si="39"/>
        <v>1</v>
      </c>
      <c r="K184" s="100">
        <f t="shared" si="43"/>
        <v>1</v>
      </c>
      <c r="L184" s="58">
        <f t="shared" si="43"/>
        <v>1</v>
      </c>
      <c r="M184" s="58">
        <f t="shared" si="43"/>
        <v>1</v>
      </c>
      <c r="N184" s="100">
        <f t="shared" si="43"/>
        <v>1</v>
      </c>
      <c r="O184" s="58"/>
      <c r="P184" s="58"/>
      <c r="Q184" s="58"/>
    </row>
    <row r="185" spans="1:17" ht="43.5" customHeight="1" x14ac:dyDescent="0.25">
      <c r="A185" s="94" t="s">
        <v>623</v>
      </c>
      <c r="B185" s="58">
        <v>121</v>
      </c>
      <c r="C185" s="94" t="s">
        <v>548</v>
      </c>
      <c r="D185" s="92">
        <v>1</v>
      </c>
      <c r="E185" s="100">
        <f t="shared" si="44"/>
        <v>1</v>
      </c>
      <c r="F185" s="58">
        <f t="shared" si="35"/>
        <v>1</v>
      </c>
      <c r="G185" s="58">
        <f t="shared" si="36"/>
        <v>1</v>
      </c>
      <c r="H185" s="58">
        <f t="shared" si="37"/>
        <v>1</v>
      </c>
      <c r="I185" s="58">
        <f t="shared" si="38"/>
        <v>1</v>
      </c>
      <c r="J185" s="58">
        <f t="shared" si="39"/>
        <v>1</v>
      </c>
      <c r="K185" s="100">
        <f t="shared" ref="K185:N198" si="45">IF(AND($D185&gt;=0,$D185&lt;15),1,0)</f>
        <v>1</v>
      </c>
      <c r="L185" s="58">
        <f t="shared" si="45"/>
        <v>1</v>
      </c>
      <c r="M185" s="58">
        <f t="shared" si="45"/>
        <v>1</v>
      </c>
      <c r="N185" s="58">
        <f t="shared" si="45"/>
        <v>1</v>
      </c>
      <c r="O185" s="58"/>
      <c r="P185" s="58"/>
      <c r="Q185" s="58"/>
    </row>
    <row r="186" spans="1:17" ht="43.5" customHeight="1" x14ac:dyDescent="0.25">
      <c r="A186" s="94" t="s">
        <v>624</v>
      </c>
      <c r="B186" s="58">
        <v>1214</v>
      </c>
      <c r="C186" s="94" t="s">
        <v>549</v>
      </c>
      <c r="D186" s="92">
        <v>1</v>
      </c>
      <c r="E186" s="100">
        <f t="shared" si="44"/>
        <v>1</v>
      </c>
      <c r="F186" s="58">
        <f t="shared" si="35"/>
        <v>1</v>
      </c>
      <c r="G186" s="58">
        <f t="shared" si="36"/>
        <v>1</v>
      </c>
      <c r="H186" s="58">
        <f t="shared" si="37"/>
        <v>1</v>
      </c>
      <c r="I186" s="58">
        <f t="shared" si="38"/>
        <v>1</v>
      </c>
      <c r="J186" s="58">
        <f t="shared" si="39"/>
        <v>1</v>
      </c>
      <c r="K186" s="100">
        <f t="shared" si="45"/>
        <v>1</v>
      </c>
      <c r="L186" s="58">
        <f t="shared" si="45"/>
        <v>1</v>
      </c>
      <c r="M186" s="58">
        <f t="shared" si="45"/>
        <v>1</v>
      </c>
      <c r="N186" s="58">
        <f t="shared" si="45"/>
        <v>1</v>
      </c>
      <c r="O186" s="58"/>
      <c r="P186" s="58"/>
      <c r="Q186" s="58"/>
    </row>
    <row r="187" spans="1:17" ht="43.5" customHeight="1" x14ac:dyDescent="0.25">
      <c r="A187" s="94" t="s">
        <v>624</v>
      </c>
      <c r="B187" s="58">
        <v>12141</v>
      </c>
      <c r="C187" s="94" t="s">
        <v>550</v>
      </c>
      <c r="D187" s="92">
        <v>2</v>
      </c>
      <c r="E187" s="100">
        <f t="shared" si="44"/>
        <v>1</v>
      </c>
      <c r="F187" s="58">
        <f t="shared" si="35"/>
        <v>2</v>
      </c>
      <c r="G187" s="58">
        <f t="shared" si="36"/>
        <v>2</v>
      </c>
      <c r="H187" s="58">
        <f t="shared" si="37"/>
        <v>2</v>
      </c>
      <c r="I187" s="58">
        <f t="shared" si="38"/>
        <v>2</v>
      </c>
      <c r="J187" s="58">
        <f t="shared" si="39"/>
        <v>2</v>
      </c>
      <c r="K187" s="100">
        <f t="shared" si="45"/>
        <v>1</v>
      </c>
      <c r="L187" s="58">
        <f t="shared" si="45"/>
        <v>1</v>
      </c>
      <c r="M187" s="58">
        <f t="shared" si="45"/>
        <v>1</v>
      </c>
      <c r="N187" s="58">
        <f t="shared" si="45"/>
        <v>1</v>
      </c>
      <c r="O187" s="58"/>
      <c r="P187" s="58"/>
      <c r="Q187" s="58"/>
    </row>
    <row r="188" spans="1:17" ht="43.5" customHeight="1" x14ac:dyDescent="0.25">
      <c r="A188" s="94" t="s">
        <v>624</v>
      </c>
      <c r="B188" s="58">
        <v>1214101</v>
      </c>
      <c r="C188" s="94" t="s">
        <v>551</v>
      </c>
      <c r="D188" s="92">
        <v>3</v>
      </c>
      <c r="E188" s="100">
        <f t="shared" si="44"/>
        <v>2</v>
      </c>
      <c r="F188" s="58">
        <f t="shared" si="35"/>
        <v>3</v>
      </c>
      <c r="G188" s="58">
        <f t="shared" si="36"/>
        <v>3</v>
      </c>
      <c r="H188" s="58">
        <f t="shared" si="37"/>
        <v>3</v>
      </c>
      <c r="I188" s="58">
        <f t="shared" si="38"/>
        <v>3</v>
      </c>
      <c r="J188" s="58">
        <f t="shared" si="39"/>
        <v>3</v>
      </c>
      <c r="K188" s="100">
        <f t="shared" si="45"/>
        <v>1</v>
      </c>
      <c r="L188" s="58">
        <f t="shared" si="45"/>
        <v>1</v>
      </c>
      <c r="M188" s="58">
        <f t="shared" si="45"/>
        <v>1</v>
      </c>
      <c r="N188" s="58">
        <f t="shared" si="45"/>
        <v>1</v>
      </c>
      <c r="O188" s="58"/>
      <c r="P188" s="58"/>
      <c r="Q188" s="58"/>
    </row>
    <row r="189" spans="1:17" ht="43.5" customHeight="1" x14ac:dyDescent="0.25">
      <c r="A189" s="94" t="s">
        <v>624</v>
      </c>
      <c r="B189" s="58">
        <v>1214105</v>
      </c>
      <c r="C189" s="94" t="s">
        <v>552</v>
      </c>
      <c r="D189" s="92">
        <v>1</v>
      </c>
      <c r="E189" s="100">
        <f t="shared" si="44"/>
        <v>1</v>
      </c>
      <c r="F189" s="58">
        <f t="shared" si="35"/>
        <v>1</v>
      </c>
      <c r="G189" s="58">
        <f t="shared" si="36"/>
        <v>1</v>
      </c>
      <c r="H189" s="58">
        <f t="shared" si="37"/>
        <v>1</v>
      </c>
      <c r="I189" s="58">
        <f t="shared" si="38"/>
        <v>1</v>
      </c>
      <c r="J189" s="58">
        <f t="shared" si="39"/>
        <v>1</v>
      </c>
      <c r="K189" s="100">
        <f t="shared" si="45"/>
        <v>1</v>
      </c>
      <c r="L189" s="58">
        <f t="shared" si="45"/>
        <v>1</v>
      </c>
      <c r="M189" s="58">
        <f t="shared" si="45"/>
        <v>1</v>
      </c>
      <c r="N189" s="58">
        <f t="shared" si="45"/>
        <v>1</v>
      </c>
      <c r="O189" s="58"/>
      <c r="P189" s="58"/>
      <c r="Q189" s="58"/>
    </row>
    <row r="190" spans="1:17" ht="43.5" customHeight="1" x14ac:dyDescent="0.25">
      <c r="A190" s="94" t="s">
        <v>624</v>
      </c>
      <c r="B190" s="58">
        <v>1214106</v>
      </c>
      <c r="C190" s="94" t="s">
        <v>553</v>
      </c>
      <c r="D190" s="92">
        <v>3</v>
      </c>
      <c r="E190" s="100">
        <f t="shared" si="44"/>
        <v>2</v>
      </c>
      <c r="F190" s="58">
        <f t="shared" si="35"/>
        <v>3</v>
      </c>
      <c r="G190" s="58">
        <f t="shared" si="36"/>
        <v>3</v>
      </c>
      <c r="H190" s="58">
        <f t="shared" si="37"/>
        <v>3</v>
      </c>
      <c r="I190" s="58">
        <f t="shared" si="38"/>
        <v>3</v>
      </c>
      <c r="J190" s="58">
        <f t="shared" si="39"/>
        <v>3</v>
      </c>
      <c r="K190" s="100">
        <f t="shared" si="45"/>
        <v>1</v>
      </c>
      <c r="L190" s="58">
        <f t="shared" si="45"/>
        <v>1</v>
      </c>
      <c r="M190" s="58">
        <f t="shared" si="45"/>
        <v>1</v>
      </c>
      <c r="N190" s="58">
        <f t="shared" si="45"/>
        <v>1</v>
      </c>
      <c r="O190" s="58"/>
      <c r="P190" s="58"/>
      <c r="Q190" s="58"/>
    </row>
    <row r="191" spans="1:17" ht="43.5" customHeight="1" x14ac:dyDescent="0.25">
      <c r="A191" s="94" t="s">
        <v>625</v>
      </c>
      <c r="B191" s="58">
        <v>1215</v>
      </c>
      <c r="C191" s="94" t="s">
        <v>554</v>
      </c>
      <c r="D191" s="107">
        <v>1</v>
      </c>
      <c r="E191" s="100">
        <f>IF($D191*$E$4&lt;1.5,1,IF($D191*$E$4&gt;=1.5,2,0))*2</f>
        <v>2</v>
      </c>
      <c r="F191" s="58">
        <f t="shared" si="35"/>
        <v>1</v>
      </c>
      <c r="G191" s="58">
        <f t="shared" si="36"/>
        <v>1</v>
      </c>
      <c r="H191" s="58">
        <f t="shared" si="37"/>
        <v>1</v>
      </c>
      <c r="I191" s="58">
        <f t="shared" si="38"/>
        <v>1</v>
      </c>
      <c r="J191" s="58">
        <f t="shared" si="39"/>
        <v>1</v>
      </c>
      <c r="K191" s="100">
        <f t="shared" si="45"/>
        <v>1</v>
      </c>
      <c r="L191" s="58">
        <f t="shared" si="45"/>
        <v>1</v>
      </c>
      <c r="M191" s="58">
        <f t="shared" si="45"/>
        <v>1</v>
      </c>
      <c r="N191" s="58">
        <f t="shared" si="45"/>
        <v>1</v>
      </c>
      <c r="O191" s="58"/>
      <c r="P191" s="58"/>
      <c r="Q191" s="58"/>
    </row>
    <row r="192" spans="1:17" ht="43.5" customHeight="1" x14ac:dyDescent="0.25">
      <c r="A192" s="94" t="s">
        <v>625</v>
      </c>
      <c r="B192" s="58">
        <v>12151</v>
      </c>
      <c r="C192" s="94" t="s">
        <v>555</v>
      </c>
      <c r="D192" s="92">
        <v>3.5</v>
      </c>
      <c r="E192" s="100">
        <f t="shared" si="44"/>
        <v>2</v>
      </c>
      <c r="F192" s="58">
        <f t="shared" si="35"/>
        <v>4</v>
      </c>
      <c r="G192" s="58">
        <f t="shared" si="36"/>
        <v>4</v>
      </c>
      <c r="H192" s="58">
        <f t="shared" si="37"/>
        <v>4</v>
      </c>
      <c r="I192" s="58">
        <f t="shared" si="38"/>
        <v>4</v>
      </c>
      <c r="J192" s="58">
        <f t="shared" si="39"/>
        <v>4</v>
      </c>
      <c r="K192" s="100">
        <f t="shared" si="45"/>
        <v>1</v>
      </c>
      <c r="L192" s="58">
        <f t="shared" si="45"/>
        <v>1</v>
      </c>
      <c r="M192" s="58">
        <f t="shared" si="45"/>
        <v>1</v>
      </c>
      <c r="N192" s="58">
        <f t="shared" si="45"/>
        <v>1</v>
      </c>
      <c r="O192" s="58"/>
      <c r="P192" s="58"/>
      <c r="Q192" s="58"/>
    </row>
    <row r="193" spans="1:17" ht="43.5" customHeight="1" x14ac:dyDescent="0.25">
      <c r="A193" s="94" t="s">
        <v>625</v>
      </c>
      <c r="B193" s="58">
        <v>1215101</v>
      </c>
      <c r="C193" s="94" t="s">
        <v>338</v>
      </c>
      <c r="D193" s="92">
        <v>9.5</v>
      </c>
      <c r="E193" s="100">
        <f>IF($D193*$E$4&lt;3.5,3,IF($D193*$E$4&lt;4.5,4,IF($D193*$E$4&gt;=4.5,5,0)))</f>
        <v>5</v>
      </c>
      <c r="F193" s="58">
        <f t="shared" si="35"/>
        <v>10</v>
      </c>
      <c r="G193" s="58">
        <f t="shared" si="36"/>
        <v>10</v>
      </c>
      <c r="H193" s="58">
        <f t="shared" si="37"/>
        <v>10</v>
      </c>
      <c r="I193" s="58">
        <f t="shared" si="38"/>
        <v>10</v>
      </c>
      <c r="J193" s="58">
        <f t="shared" si="39"/>
        <v>10</v>
      </c>
      <c r="K193" s="100">
        <f t="shared" si="45"/>
        <v>1</v>
      </c>
      <c r="L193" s="58">
        <f t="shared" si="45"/>
        <v>1</v>
      </c>
      <c r="M193" s="58">
        <f t="shared" si="45"/>
        <v>1</v>
      </c>
      <c r="N193" s="58">
        <f t="shared" si="45"/>
        <v>1</v>
      </c>
      <c r="O193" s="58"/>
      <c r="P193" s="58"/>
      <c r="Q193" s="58"/>
    </row>
    <row r="194" spans="1:17" ht="43.5" customHeight="1" x14ac:dyDescent="0.25">
      <c r="A194" s="94" t="s">
        <v>625</v>
      </c>
      <c r="B194" s="58">
        <v>1215102</v>
      </c>
      <c r="C194" s="94" t="s">
        <v>340</v>
      </c>
      <c r="D194" s="92">
        <v>3</v>
      </c>
      <c r="E194" s="100">
        <f t="shared" ref="E194:E201" si="46">IF($D194*$E$4&lt;1.5,1,IF($D194*$E$4&gt;=1.5,2,0))</f>
        <v>2</v>
      </c>
      <c r="F194" s="58">
        <f t="shared" si="35"/>
        <v>3</v>
      </c>
      <c r="G194" s="58">
        <f t="shared" si="36"/>
        <v>3</v>
      </c>
      <c r="H194" s="58">
        <f t="shared" si="37"/>
        <v>3</v>
      </c>
      <c r="I194" s="58">
        <f t="shared" si="38"/>
        <v>3</v>
      </c>
      <c r="J194" s="58">
        <f t="shared" si="39"/>
        <v>3</v>
      </c>
      <c r="K194" s="100">
        <f t="shared" si="45"/>
        <v>1</v>
      </c>
      <c r="L194" s="58">
        <f t="shared" si="45"/>
        <v>1</v>
      </c>
      <c r="M194" s="58">
        <f t="shared" si="45"/>
        <v>1</v>
      </c>
      <c r="N194" s="58">
        <f t="shared" si="45"/>
        <v>1</v>
      </c>
      <c r="O194" s="58"/>
      <c r="P194" s="58"/>
      <c r="Q194" s="58"/>
    </row>
    <row r="195" spans="1:17" ht="43.5" customHeight="1" x14ac:dyDescent="0.25">
      <c r="A195" s="94" t="s">
        <v>625</v>
      </c>
      <c r="B195" s="58">
        <v>1215116</v>
      </c>
      <c r="C195" s="94" t="s">
        <v>342</v>
      </c>
      <c r="D195" s="92">
        <v>3.25</v>
      </c>
      <c r="E195" s="100">
        <f t="shared" si="46"/>
        <v>2</v>
      </c>
      <c r="F195" s="58">
        <f t="shared" si="35"/>
        <v>3</v>
      </c>
      <c r="G195" s="58">
        <f t="shared" si="36"/>
        <v>3</v>
      </c>
      <c r="H195" s="58">
        <f t="shared" si="37"/>
        <v>3</v>
      </c>
      <c r="I195" s="58">
        <f t="shared" si="38"/>
        <v>3</v>
      </c>
      <c r="J195" s="58">
        <f t="shared" si="39"/>
        <v>3</v>
      </c>
      <c r="K195" s="100">
        <f t="shared" si="45"/>
        <v>1</v>
      </c>
      <c r="L195" s="58">
        <f t="shared" si="45"/>
        <v>1</v>
      </c>
      <c r="M195" s="58">
        <f t="shared" si="45"/>
        <v>1</v>
      </c>
      <c r="N195" s="58">
        <f t="shared" si="45"/>
        <v>1</v>
      </c>
      <c r="O195" s="58"/>
      <c r="P195" s="58"/>
      <c r="Q195" s="58"/>
    </row>
    <row r="196" spans="1:17" ht="43.5" customHeight="1" x14ac:dyDescent="0.25">
      <c r="A196" s="94" t="s">
        <v>625</v>
      </c>
      <c r="B196" s="58">
        <v>12152</v>
      </c>
      <c r="C196" s="94" t="s">
        <v>556</v>
      </c>
      <c r="D196" s="107">
        <v>3</v>
      </c>
      <c r="E196" s="100">
        <f>IF($D196*$E$4&lt;1.5,1,IF($D196*$E$4&gt;=1.5,2,0))*2.5</f>
        <v>5</v>
      </c>
      <c r="F196" s="58">
        <f t="shared" si="35"/>
        <v>3</v>
      </c>
      <c r="G196" s="58">
        <f t="shared" si="36"/>
        <v>3</v>
      </c>
      <c r="H196" s="58">
        <f t="shared" si="37"/>
        <v>3</v>
      </c>
      <c r="I196" s="58">
        <f t="shared" si="38"/>
        <v>3</v>
      </c>
      <c r="J196" s="58">
        <f t="shared" si="39"/>
        <v>3</v>
      </c>
      <c r="K196" s="100">
        <f t="shared" si="45"/>
        <v>1</v>
      </c>
      <c r="L196" s="58">
        <f t="shared" si="45"/>
        <v>1</v>
      </c>
      <c r="M196" s="58">
        <f t="shared" si="45"/>
        <v>1</v>
      </c>
      <c r="N196" s="58">
        <f t="shared" si="45"/>
        <v>1</v>
      </c>
      <c r="O196" s="58"/>
      <c r="P196" s="58"/>
      <c r="Q196" s="58"/>
    </row>
    <row r="197" spans="1:17" ht="43.5" customHeight="1" x14ac:dyDescent="0.25">
      <c r="A197" s="94" t="s">
        <v>625</v>
      </c>
      <c r="B197" s="58">
        <v>12153</v>
      </c>
      <c r="C197" s="94" t="s">
        <v>557</v>
      </c>
      <c r="D197" s="107">
        <v>1.5</v>
      </c>
      <c r="E197" s="100">
        <f>IF($D197*$E$4&lt;1.5,1,IF($D197*$E$4&gt;=1.5,2,0))*3</f>
        <v>3</v>
      </c>
      <c r="F197" s="58">
        <f t="shared" si="35"/>
        <v>2</v>
      </c>
      <c r="G197" s="58">
        <f t="shared" si="36"/>
        <v>2</v>
      </c>
      <c r="H197" s="58">
        <f t="shared" si="37"/>
        <v>2</v>
      </c>
      <c r="I197" s="58">
        <f t="shared" si="38"/>
        <v>2</v>
      </c>
      <c r="J197" s="58">
        <f t="shared" si="39"/>
        <v>2</v>
      </c>
      <c r="K197" s="100">
        <f t="shared" si="45"/>
        <v>1</v>
      </c>
      <c r="L197" s="58">
        <f t="shared" si="45"/>
        <v>1</v>
      </c>
      <c r="M197" s="58">
        <f t="shared" si="45"/>
        <v>1</v>
      </c>
      <c r="N197" s="58">
        <f t="shared" si="45"/>
        <v>1</v>
      </c>
      <c r="O197" s="58"/>
      <c r="P197" s="58"/>
      <c r="Q197" s="58"/>
    </row>
    <row r="198" spans="1:17" ht="43.5" customHeight="1" x14ac:dyDescent="0.25">
      <c r="A198" s="94" t="s">
        <v>626</v>
      </c>
      <c r="B198" s="58">
        <v>1216</v>
      </c>
      <c r="C198" s="94" t="s">
        <v>558</v>
      </c>
      <c r="D198" s="92">
        <v>3</v>
      </c>
      <c r="E198" s="100">
        <f t="shared" si="46"/>
        <v>2</v>
      </c>
      <c r="F198" s="58">
        <f t="shared" si="35"/>
        <v>3</v>
      </c>
      <c r="G198" s="58">
        <f t="shared" si="36"/>
        <v>3</v>
      </c>
      <c r="H198" s="58">
        <f t="shared" si="37"/>
        <v>3</v>
      </c>
      <c r="I198" s="58">
        <f t="shared" si="38"/>
        <v>3</v>
      </c>
      <c r="J198" s="58">
        <f t="shared" si="39"/>
        <v>3</v>
      </c>
      <c r="K198" s="100">
        <f t="shared" si="45"/>
        <v>1</v>
      </c>
      <c r="L198" s="58">
        <f t="shared" si="45"/>
        <v>1</v>
      </c>
      <c r="M198" s="58">
        <f t="shared" si="45"/>
        <v>1</v>
      </c>
      <c r="N198" s="58">
        <f t="shared" si="45"/>
        <v>1</v>
      </c>
      <c r="O198" s="58"/>
      <c r="P198" s="58"/>
      <c r="Q198" s="58"/>
    </row>
    <row r="199" spans="1:17" ht="43.5" customHeight="1" x14ac:dyDescent="0.25">
      <c r="A199" s="94" t="s">
        <v>627</v>
      </c>
      <c r="B199" s="58">
        <v>125</v>
      </c>
      <c r="C199" s="94" t="s">
        <v>189</v>
      </c>
      <c r="D199" s="92">
        <v>1</v>
      </c>
      <c r="E199" s="100">
        <f t="shared" si="46"/>
        <v>1</v>
      </c>
      <c r="F199" s="58">
        <f t="shared" si="35"/>
        <v>1</v>
      </c>
      <c r="G199" s="58">
        <f t="shared" si="36"/>
        <v>1</v>
      </c>
      <c r="H199" s="58">
        <f t="shared" si="37"/>
        <v>1</v>
      </c>
      <c r="I199" s="58">
        <f t="shared" si="38"/>
        <v>1</v>
      </c>
      <c r="J199" s="58">
        <f t="shared" si="39"/>
        <v>1</v>
      </c>
      <c r="K199" s="100">
        <f t="shared" ref="K199:N201" si="47">ROUNDUP($D199*K$4,0)</f>
        <v>1</v>
      </c>
      <c r="L199" s="58">
        <f t="shared" si="47"/>
        <v>1</v>
      </c>
      <c r="M199" s="58">
        <f t="shared" si="47"/>
        <v>1</v>
      </c>
      <c r="N199" s="58">
        <f t="shared" si="47"/>
        <v>1</v>
      </c>
      <c r="O199" s="58"/>
      <c r="P199" s="58"/>
      <c r="Q199" s="58"/>
    </row>
    <row r="200" spans="1:17" ht="43.5" customHeight="1" x14ac:dyDescent="0.25">
      <c r="A200" s="94" t="s">
        <v>627</v>
      </c>
      <c r="B200" s="58">
        <v>12501</v>
      </c>
      <c r="C200" s="94" t="s">
        <v>191</v>
      </c>
      <c r="D200" s="92">
        <v>2</v>
      </c>
      <c r="E200" s="100">
        <f t="shared" si="46"/>
        <v>1</v>
      </c>
      <c r="F200" s="58">
        <f t="shared" ref="F200:F225" si="48">IF(AND($D200*$F$4&gt;=0,$D200&lt;1.5),1,IF(AND($D200*$F$4&gt;=1.5,$D200&lt;2.5),2,IF(AND($D200*$F$4&gt;=2.5,$D200&lt;3.5),3,IF(AND($D200*$F$4&gt;=3.5,$D200&lt;4.5),4,IF(AND($D200*$F$4&gt;=4.5,$D200&lt;5.5),5,IF(AND($D200*$F$4&gt;=5.5,$D200&lt;6.5),6,IF(AND($D200*$F$4&gt;=6.5,$D200&lt;7.5),7,IF(AND($D200*$F$4&gt;=7.5,$D200&lt;8.5),8,IF(AND($D200*$F$4&gt;=8.5,$D200&lt;9.5),9,IF(AND($D200*$F$4&gt;=9.5,$D200&lt;10.5),10,IF(AND($D200*$F$4&gt;=10.5,$D200&lt;11.5),11,IF(AND($D200*$F$4&gt;=11.5,$D200&lt;12.5),12,IF(AND($D200*$F$4&gt;=12.5,$D200&lt;13.5),13,IF(AND($D200*$F$4&gt;=13.5,$D200&lt;14.5),14,IF(AND($D200*$F$4&gt;=14.5,$D200&lt;15.5),15,IF(AND($D200*$F$4&gt;=15.5,$D200&lt;16.5),16,IF(AND($D200*$F$4&gt;=16.5,$D200&lt;17.5),17,IF(AND($D200*$F$4&gt;=17.5,$D200&lt;18.5),18,IF(AND($D200*$F$4&gt;=18.5,$D200&lt;19.5),19,IF(AND($D200*$F$4&gt;=19.5,$D200&lt;20.5),20,IF(AND($D200*$F$4&gt;=20.5,$D200&lt;21.5),21,IF(AND($D200*$F$4&gt;=21.5,$D200&lt;22.5),22,IF(AND($D200*$F$4&gt;=22.5,$D200&lt;23.5),23,IF(AND($D200*$F$4&gt;=23.5,$D200&lt;24.5),24,IF(AND($D200*$F$4&gt;=24.5,$D200&lt;25.5),25,IF(AND($D200*$F$4&gt;=25.5,$D200&lt;26.5),26,IF(AND($D200*$F$4&gt;=26.5,$D200&lt;27.5),27,IF(AND($D200*$F$4&gt;=27.5,$D200&lt;28.5),28,IF(AND($D200*$F$4&gt;=28.5,$D200&lt;29.5),29,IF(AND($D200*$F$4&gt;=29.5,$D200&lt;30.5),30,IF(AND($D200*$F$4&gt;=30.5,$D200&lt;31.5),31,IF(AND($D200*$F$4&gt;=31.5,$D200&lt;32.5),32,IF(AND($D200*$F$4&gt;=32.5,$D200&lt;33.5),33,IF(AND($D200*$F$4&gt;=33.5,$D200&lt;34.5),34,IF(AND($D200*$F$4&gt;=34.5,$D200&lt;35.5),35,IF(AND($D200*$F$4&gt;=35.5,$D200&lt;36.5),36,IF(AND($D200*$F$4&gt;=36.5,$D200&lt;37.5),37,IF(AND($D200*$F$4&gt;=37.5,$D200&lt;38.5),38,IF(AND($D200*$F$4&gt;=38.5,$D200&lt;39.5),39,IF(AND($D200*$F$4&gt;=39.5,$D200&lt;40.5),40,IF(AND($D200*$F$4&gt;=40.5,$D200&lt;41.5),41,IF(AND($D200*$F$4&gt;=41.5,$D200&lt;42.5),42,IF(AND($D200*$F$4&gt;=42.5,$D200&lt;43.5),43,IF(AND($D200*$F$4&gt;=43.5,$D200&lt;44.5),44,IF(AND($D200*$F$4&gt;=44.5,$D200&lt;45.5),45,IF(AND($D200*$F$4&gt;=45.5,$D200&lt;46.5),46,IF(AND($D200*$F$4&gt;=46.5,$D200&lt;47.5),47,IF(AND($D200*$F$4&gt;=47.5,$D200&lt;48.5),48,IF(AND($D200*$F$4&gt;=48.5,$D200&lt;49.5),49,IF(AND($D200*$F$4&gt;=49.5,$D200&lt;50.5),50,IF(AND($D200*$F$4&gt;=50.5,$D200&lt;51.5),51,IF(AND($D200*$F$4&gt;=51.5,$D200&lt;52.5),52,IF(AND($D200*$F$4&gt;=52.5,$D200&lt;53.5),53,IF(AND($D200*$F$4&gt;=53.5,$D200&lt;54.5),54,IF(AND($D200*$F$4&gt;=54.5,$D200&lt;55.5),55,IF(AND($D200*$F$4&gt;=55.5,$D200&lt;56.5),56,IF(AND($D200*$F$4&gt;=64.5,$D200&lt;65.5),65,IF(AND($D200*$F$4&gt;=65.5,$D200&lt;66.5),66,IF(AND($D200*$F$4&gt;=86.5,$D200&lt;87.5),87,IF(AND($D200*$F$4&gt;=87.5,$D200&lt;88.5),88,IF(AND($D200*$F$4&gt;=121.5,$D200&lt;122.5),122,IF(AND($D200*$F$4&gt;=122.5,$D200&lt;123.5),123,0))))))))))))))))))))))))))))))))))))))))))))))))))))))))))))))</f>
        <v>2</v>
      </c>
      <c r="G200" s="58">
        <f t="shared" ref="G200:G225" si="49">IF(AND($D200*$G$4&gt;=0,$D200&lt;1.5),1,IF(AND($D200*$G$4&gt;=1.5,$D200&lt;2.5),2,IF(AND($D200*$G$4&gt;=2.5,$D200&lt;3.5),3,IF(AND($D200*$G$4&gt;=3.5,$D200&lt;4.5),4,IF(AND($D200*$G$4&gt;=4.5,$D200&lt;5.5),5,IF(AND($D200*$G$4&gt;=5.5,$D200&lt;6.5),6,IF(AND($D200*$G$4&gt;=6.5,$D200&lt;7.5),7,IF(AND($D200*$G$4&gt;=7.5,$D200&lt;8.5),8,IF(AND($D200*$G$4&gt;=8.5,$D200&lt;9.5),9,IF(AND($D200*$G$4&gt;=9.5,$D200&lt;10.5),10,IF(AND($D200*$G$4&gt;=10.5,$D200&lt;11.5),11,IF(AND($D200*$G$4&gt;=11.5,$D200&lt;12.5),12,IF(AND($D200*$G$4&gt;=12.5,$D200&lt;13.5),13,IF(AND($D200*$G$4&gt;=13.5,$D200&lt;14.5),14,IF(AND($D200*$G$4&gt;=14.5,$D200&lt;15.5),15,IF(AND($D200*$G$4&gt;=15.5,$D200&lt;16.5),16,IF(AND($D200*$G$4&gt;=16.5,$D200&lt;17.5),17,IF(AND($D200*$G$4&gt;=17.5,$D200&lt;18.5),18,IF(AND($D200*$G$4&gt;=18.5,$D200&lt;19.5),19,IF(AND($D200*$G$4&gt;=19.5,$D200&lt;20.5),20,IF(AND($D200*$G$4&gt;=20.5,$D200&lt;21.5),21,IF(AND($D200*$G$4&gt;=21.5,$D200&lt;22.5),22,IF(AND($D200*$G$4&gt;=22.5,$D200&lt;23.5),23,IF(AND($D200*$G$4&gt;=23.5,$D200&lt;24.5),24,IF(AND($D200*$G$4&gt;=24.5,$D200&lt;25.5),25,IF(AND($D200*$G$4&gt;=25.5,$D200&lt;26.5),26,IF(AND($D200*$G$4&gt;=26.5,$D200&lt;27.5),27,IF(AND($D200*$G$4&gt;=27.5,$D200&lt;28.5),28,IF(AND($D200*$G$4&gt;=28.5,$D200&lt;29.5),29,IF(AND($D200*$G$4&gt;=29.5,$D200&lt;30.5),30,IF(AND($D200*$G$4&gt;=30.5,$D200&lt;31.5),31,IF(AND($D200*$G$4&gt;=31.5,$D200&lt;32.5),32,IF(AND($D200*$G$4&gt;=32.5,$D200&lt;33.5),33,IF(AND($D200*$G$4&gt;=33.5,$D200&lt;34.5),34,IF(AND($D200*$G$4&gt;=34.5,$D200&lt;35.5),35,IF(AND($D200*$G$4&gt;=35.5,$D200&lt;36.5),36,IF(AND($D200*$G$4&gt;=36.5,$D200&lt;37.5),37,IF(AND($D200*$G$4&gt;=37.5,$D200&lt;38.5),38,IF(AND($D200*$G$4&gt;=38.5,$D200&lt;39.5),39,IF(AND($D200*$G$4&gt;=39.5,$D200&lt;40.5),40,IF(AND($D200*$G$4&gt;=40.5,$D200&lt;41.5),41,IF(AND($D200*$G$4&gt;=41.5,$D200&lt;42.5),42,IF(AND($D200*$G$4&gt;=42.5,$D200&lt;43.5),43,IF(AND($D200*$G$4&gt;=43.5,$D200&lt;44.5),44,IF(AND($D200*$G$4&gt;=44.5,$D200&lt;45.5),45,IF(AND($D200*$G$4&gt;=45.5,$D200&lt;46.5),46,IF(AND($D200*$G$4&gt;=46.5,$D200&lt;47.5),47,IF(AND($D200*$G$4&gt;=47.5,$D200&lt;48.5),48,IF(AND($D200*$G$4&gt;=48.5,$D200&lt;49.5),49,IF(AND($D200*$G$4&gt;=49.5,$D200&lt;50.5),50,IF(AND($D200*$G$4&gt;=50.5,$D200&lt;51.5),51,IF(AND($D200*$G$4&gt;=51.5,$D200&lt;52.5),52,IF(AND($D200*$G$4&gt;=52.5,$D200&lt;53.5),53,IF(AND($D200*$G$4&gt;=53.5,$D200&lt;54.5),54,IF(AND($D200*$G$4&gt;=54.5,$D200&lt;55.5),55,IF(AND($D200*$G$4&gt;=55.5,$D200&lt;56.5),56,IF(AND($D200*$G$4&gt;=64.5,$D200&lt;65.5),65,IF(AND($D200*$G$4&gt;=65.5,$D200&lt;66.5),66,IF(AND($D200*$G$4&gt;=86.5,$D200&lt;87.5),87,IF(AND($D200*$G$4&gt;=87.5,$D200&lt;88.5),88,IF(AND($D200*$G$4&gt;=121.5,$D200&lt;122.5),122,IF(AND($D200*$G$4&gt;=122.5,$D200&lt;123.5),123,0))))))))))))))))))))))))))))))))))))))))))))))))))))))))))))))</f>
        <v>2</v>
      </c>
      <c r="H200" s="58">
        <f t="shared" ref="H200:H225" si="50">IF(AND($D200*$H$4&gt;=0,$D200&lt;1.5),1,IF(AND($D200*$H$4&gt;=1.5,$D200&lt;2.5),2,IF(AND($D200*$H$4&gt;=2.5,$D200&lt;3.5),3,IF(AND($D200*$H$4&gt;=3.5,$D200&lt;4.5),4,IF(AND($D200*$H$4&gt;=4.5,$D200&lt;5.5),5,IF(AND($D200*$H$4&gt;=5.5,$D200&lt;6.5),6,IF(AND($D200*$H$4&gt;=6.5,$D200&lt;7.5),7,IF(AND($D200*$H$4&gt;=7.5,$D200&lt;8.5),8,IF(AND($D200*$H$4&gt;=8.5,$D200&lt;9.5),9,IF(AND($D200*$H$4&gt;=9.5,$D200&lt;10.5),10,IF(AND($D200*$H$4&gt;=10.5,$D200&lt;11.5),11,IF(AND($D200*$H$4&gt;=11.5,$D200&lt;12.5),12,IF(AND($D200*$H$4&gt;=12.5,$D200&lt;13.5),13,IF(AND($D200*$H$4&gt;=13.5,$D200&lt;14.5),14,IF(AND($D200*$H$4&gt;=14.5,$D200&lt;15.5),15,IF(AND($D200*$H$4&gt;=15.5,$D200&lt;16.5),16,IF(AND($D200*$H$4&gt;=16.5,$D200&lt;17.5),17,IF(AND($D200*$H$4&gt;=17.5,$D200&lt;18.5),18,IF(AND($D200*$H$4&gt;=18.5,$D200&lt;19.5),19,IF(AND($D200*$H$4&gt;=19.5,$D200&lt;20.5),20,IF(AND($D200*$H$4&gt;=20.5,$D200&lt;21.5),21,IF(AND($D200*$H$4&gt;=21.5,$D200&lt;22.5),22,IF(AND($D200*$H$4&gt;=22.5,$D200&lt;23.5),23,IF(AND($D200*$H$4&gt;=23.5,$D200&lt;24.5),24,IF(AND($D200*$H$4&gt;=24.5,$D200&lt;25.5),25,IF(AND($D200*$H$4&gt;=25.5,$D200&lt;26.5),26,IF(AND($D200*$H$4&gt;=26.5,$D200&lt;27.5),27,IF(AND($D200*$H$4&gt;=27.5,$D200&lt;28.5),28,IF(AND($D200*$H$4&gt;=28.5,$D200&lt;29.5),29,IF(AND($D200*$H$4&gt;=29.5,$D200&lt;30.5),30,IF(AND($D200*$H$4&gt;=30.5,$D200&lt;31.5),31,IF(AND($D200*$H$4&gt;=31.5,$D200&lt;32.5),32,IF(AND($D200*$H$4&gt;=32.5,$D200&lt;33.5),33,IF(AND($D200*$H$4&gt;=33.5,$D200&lt;34.5),34,IF(AND($D200*$H$4&gt;=34.5,$D200&lt;35.5),35,IF(AND($D200*$H$4&gt;=35.5,$D200&lt;36.5),36,IF(AND($D200*$H$4&gt;=36.5,$D200&lt;37.5),37,IF(AND($D200*$H$4&gt;=37.5,$D200&lt;38.5),38,IF(AND($D200*$H$4&gt;=38.5,$D200&lt;39.5),39,IF(AND($D200*$H$4&gt;=39.5,$D200&lt;40.5),40,IF(AND($D200*$H$4&gt;=40.5,$D200&lt;41.5),41,IF(AND($D200*$H$4&gt;=41.5,$D200&lt;42.5),42,IF(AND($D200*$H$4&gt;=42.5,$D200&lt;43.5),43,IF(AND($D200*$H$4&gt;=43.5,$D200&lt;44.5),44,IF(AND($D200*$H$4&gt;=44.5,$D200&lt;45.5),45,IF(AND($D200*$H$4&gt;=45.5,$D200&lt;46.5),46,IF(AND($D200*$H$4&gt;=46.5,$D200&lt;47.5),47,IF(AND($D200*$H$4&gt;=47.5,$D200&lt;48.5),48,IF(AND($D200*$H$4&gt;=48.5,$D200&lt;49.5),49,IF(AND($D200*$H$4&gt;=49.5,$D200&lt;50.5),50,IF(AND($D200*$H$4&gt;=50.5,$D200&lt;51.5),51,IF(AND($D200*$H$4&gt;=51.5,$D200&lt;52.5),52,IF(AND($D200*$H$4&gt;=52.5,$D200&lt;53.5),53,IF(AND($D200*$H$4&gt;=53.5,$D200&lt;54.5),54,IF(AND($D200*$H$4&gt;=54.5,$D200&lt;55.5),55,IF(AND($D200*$H$4&gt;=55.5,$D200&lt;56.5),56,IF(AND($D200*$H$4&gt;=64.5,$D200&lt;65.5),65,IF(AND($D200*$H$4&gt;=65.5,$D200&lt;66.5),66,IF(AND($D200*$H$4&gt;=86.5,$D200&lt;87.5),87,IF(AND($D200*$H$4&gt;=87.5,$D200&lt;88.5),88,IF(AND($D200*$H$4&gt;=121.5,$D200&lt;122.5),122,IF(AND($D200*$H$4&gt;=122.5,$D200&lt;123.5),123,0))))))))))))))))))))))))))))))))))))))))))))))))))))))))))))))</f>
        <v>2</v>
      </c>
      <c r="I200" s="58">
        <f t="shared" ref="I200:I225" si="51">IF(AND($D200*$I$4&gt;=0,$D200&lt;1.5),1,IF(AND($D200*$I$4&gt;=1.5,$D200&lt;2.5),2,IF(AND($D200*$I$4&gt;=2.5,$D200&lt;3.5),3,IF(AND($D200*$I$4&gt;=3.5,$D200&lt;4.5),4,IF(AND($D200*$I$4&gt;=4.5,$D200&lt;5.5),5,IF(AND($D200*$I$4&gt;=5.5,$D200&lt;6.5),6,IF(AND($D200*$I$4&gt;=6.5,$D200&lt;7.5),7,IF(AND($D200*$I$4&gt;=7.5,$D200&lt;8.5),8,IF(AND($D200*$I$4&gt;=8.5,$D200&lt;9.5),9,IF(AND($D200*$I$4&gt;=9.5,$D200&lt;10.5),10,IF(AND($D200*$I$4&gt;=10.5,$D200&lt;11.5),11,IF(AND($D200*$I$4&gt;=11.5,$D200&lt;12.5),12,IF(AND($D200*$I$4&gt;=12.5,$D200&lt;13.5),13,IF(AND($D200*$I$4&gt;=13.5,$D200&lt;14.5),14,IF(AND($D200*$I$4&gt;=14.5,$D200&lt;15.5),15,IF(AND($D200*$I$4&gt;=15.5,$D200&lt;16.5),16,IF(AND($D200*$I$4&gt;=16.5,$D200&lt;17.5),17,IF(AND($D200*$I$4&gt;=17.5,$D200&lt;18.5),18,IF(AND($D200*$I$4&gt;=18.5,$D200&lt;19.5),19,IF(AND($D200*$I$4&gt;=19.5,$D200&lt;20.5),20,IF(AND($D200*$I$4&gt;=20.5,$D200&lt;21.5),21,IF(AND($D200*$I$4&gt;=21.5,$D200&lt;22.5),22,IF(AND($D200*$I$4&gt;=22.5,$D200&lt;23.5),23,IF(AND($D200*$I$4&gt;=23.5,$D200&lt;24.5),24,IF(AND($D200*$I$4&gt;=24.5,$D200&lt;25.5),25,IF(AND($D200*$I$4&gt;=25.5,$D200&lt;26.5),26,IF(AND($D200*$I$4&gt;=26.5,$D200&lt;27.5),27,IF(AND($D200*$I$4&gt;=27.5,$D200&lt;28.5),28,IF(AND($D200*$I$4&gt;=28.5,$D200&lt;29.5),29,IF(AND($D200*$I$4&gt;=29.5,$D200&lt;30.5),30,IF(AND($D200*$I$4&gt;=30.5,$D200&lt;31.5),31,IF(AND($D200*$I$4&gt;=31.5,$D200&lt;32.5),32,IF(AND($D200*$I$4&gt;=32.5,$D200&lt;33.5),33,IF(AND($D200*$I$4&gt;=33.5,$D200&lt;34.5),34,IF(AND($D200*$I$4&gt;=34.5,$D200&lt;35.5),35,IF(AND($D200*$I$4&gt;=35.5,$D200&lt;36.5),36,IF(AND($D200*$I$4&gt;=36.5,$D200&lt;37.5),37,IF(AND($D200*$I$4&gt;=37.5,$D200&lt;38.5),38,IF(AND($D200*$I$4&gt;=38.5,$D200&lt;39.5),39,IF(AND($D200*$I$4&gt;=39.5,$D200&lt;40.5),40,IF(AND($D200*$I$4&gt;=40.5,$D200&lt;41.5),41,IF(AND($D200*$I$4&gt;=41.5,$D200&lt;42.5),42,IF(AND($D200*$I$4&gt;=42.5,$D200&lt;43.5),43,IF(AND($D200*$I$4&gt;=43.5,$D200&lt;44.5),44,IF(AND($D200*$I$4&gt;=44.5,$D200&lt;45.5),45,IF(AND($D200*$I$4&gt;=45.5,$D200&lt;46.5),46,IF(AND($D200*$I$4&gt;=46.5,$D200&lt;47.5),47,IF(AND($D200*$I$4&gt;=47.5,$D200&lt;48.5),48,IF(AND($D200*$I$4&gt;=48.5,$D200&lt;49.5),49,IF(AND($D200*$I$4&gt;=49.5,$D200&lt;50.5),50,IF(AND($D200*$I$4&gt;=50.5,$D200&lt;51.5),51,IF(AND($D200*$I$4&gt;=51.5,$D200&lt;52.5),52,IF(AND($D200*$I$4&gt;=52.5,$D200&lt;53.5),53,IF(AND($D200*$I$4&gt;=53.5,$D200&lt;54.5),54,IF(AND($D200*$I$4&gt;=54.5,$D200&lt;55.5),55,IF(AND($D200*$I$4&gt;=55.5,$D200&lt;56.5),56,IF(AND($D200*$I$4&gt;=64.5,$D200&lt;65.5),65,IF(AND($D200*$I$4&gt;=65.5,$D200&lt;66.5),66,IF(AND($D200*$I$4&gt;=86.5,$D200&lt;87.5),87,IF(AND($D200*$I$4&gt;=87.5,$D200&lt;88.5),88,IF(AND($D200*$I$4&gt;=121.5,$D200&lt;122.5),122,IF(AND($D200*$I$4&gt;=122.5,$D200&lt;123.5),123,0))))))))))))))))))))))))))))))))))))))))))))))))))))))))))))))</f>
        <v>2</v>
      </c>
      <c r="J200" s="58">
        <f t="shared" ref="J200:J225" si="52">IF(AND($D200*$J$4&gt;=0,$D200&lt;1.5),1,IF(AND($D200*$J$4&gt;=1.5,$D200&lt;2.5),2,IF(AND($D200*$J$4&gt;=2.5,$D200&lt;3.5),3,IF(AND($D200*$J$4&gt;=3.5,$D200&lt;4.5),4,IF(AND($D200*$J$4&gt;=4.5,$D200&lt;5.5),5,IF(AND($D200*$J$4&gt;=5.5,$D200&lt;6.5),6,IF(AND($D200*$J$4&gt;=6.5,$D200&lt;7.5),7,IF(AND($D200*$J$4&gt;=7.5,$D200&lt;8.5),8,IF(AND($D200*$J$4&gt;=8.5,$D200&lt;9.5),9,IF(AND($D200*$J$4&gt;=9.5,$D200&lt;10.5),10,IF(AND($D200*$J$4&gt;=10.5,$D200&lt;11.5),11,IF(AND($D200*$J$4&gt;=11.5,$D200&lt;12.5),12,IF(AND($D200*$J$4&gt;=12.5,$D200&lt;13.5),13,IF(AND($D200*$J$4&gt;=13.5,$D200&lt;14.5),14,IF(AND($D200*$J$4&gt;=14.5,$D200&lt;15.5),15,IF(AND($D200*$J$4&gt;=15.5,$D200&lt;16.5),16,IF(AND($D200*$J$4&gt;=16.5,$D200&lt;17.5),17,IF(AND($D200*$J$4&gt;=17.5,$D200&lt;18.5),18,IF(AND($D200*$J$4&gt;=18.5,$D200&lt;19.5),19,IF(AND($D200*$J$4&gt;=19.5,$D200&lt;20.5),20,IF(AND($D200*$J$4&gt;=20.5,$D200&lt;21.5),21,IF(AND($D200*$J$4&gt;=21.5,$D200&lt;22.5),22,IF(AND($D200*$J$4&gt;=22.5,$D200&lt;23.5),23,IF(AND($D200*$J$4&gt;=23.5,$D200&lt;24.5),24,IF(AND($D200*$J$4&gt;=24.5,$D200&lt;25.5),25,IF(AND($D200*$J$4&gt;=25.5,$D200&lt;26.5),26,IF(AND($D200*$J$4&gt;=26.5,$D200&lt;27.5),27,IF(AND($D200*$J$4&gt;=27.5,$D200&lt;28.5),28,IF(AND($D200*$J$4&gt;=28.5,$D200&lt;29.5),29,IF(AND($D200*$J$4&gt;=29.5,$D200&lt;30.5),30,IF(AND($D200*$J$4&gt;=30.5,$D200&lt;31.5),31,IF(AND($D200*$J$4&gt;=31.5,$D200&lt;32.5),32,IF(AND($D200*$J$4&gt;=32.5,$D200&lt;33.5),33,IF(AND($D200*$J$4&gt;=33.5,$D200&lt;34.5),34,IF(AND($D200*$J$4&gt;=34.5,$D200&lt;35.5),35,IF(AND($D200*$J$4&gt;=35.5,$D200&lt;36.5),36,IF(AND($D200*$J$4&gt;=36.5,$D200&lt;37.5),37,IF(AND($D200*$J$4&gt;=37.5,$D200&lt;38.5),38,IF(AND($D200*$J$4&gt;=38.5,$D200&lt;39.5),39,IF(AND($D200*$J$4&gt;=39.5,$D200&lt;40.5),40,IF(AND($D200*$J$4&gt;=40.5,$D200&lt;41.5),41,IF(AND($D200*$J$4&gt;=41.5,$D200&lt;42.5),42,IF(AND($D200*$J$4&gt;=42.5,$D200&lt;43.5),43,IF(AND($D200*$J$4&gt;=43.5,$D200&lt;44.5),44,IF(AND($D200*$J$4&gt;=44.5,$D200&lt;45.5),45,IF(AND($D200*$J$4&gt;=45.5,$D200&lt;46.5),46,IF(AND($D200*$J$4&gt;=46.5,$D200&lt;47.5),47,IF(AND($D200*$J$4&gt;=47.5,$D200&lt;48.5),48,IF(AND($D200*$J$4&gt;=48.5,$D200&lt;49.5),49,IF(AND($D200*$J$4&gt;=49.5,$D200&lt;50.5),50,IF(AND($D200*$J$4&gt;=50.5,$D200&lt;51.5),51,IF(AND($D200*$J$4&gt;=51.5,$D200&lt;52.5),52,IF(AND($D200*$J$4&gt;=52.5,$D200&lt;53.5),53,IF(AND($D200*$J$4&gt;=53.5,$D200&lt;54.5),54,IF(AND($D200*$J$4&gt;=54.5,$D200&lt;55.5),55,IF(AND($D200*$J$4&gt;=55.5,$D200&lt;56.5),56,IF(AND($D200*$J$4&gt;=64.5,$D200&lt;65.5),65,IF(AND($D200*$J$4&gt;=65.5,$D200&lt;66.5),66,IF(AND($D200*$J$4&gt;=86.5,$D200&lt;87.5),87,IF(AND($D200*$J$4&gt;=87.5,$D200&lt;88.5),88,IF(AND($D200*$J$4&gt;=121.5,$D200&lt;122.5),122,IF(AND($D200*$J$4&gt;=122.5,$D200&lt;123.5),123,0))))))))))))))))))))))))))))))))))))))))))))))))))))))))))))))</f>
        <v>2</v>
      </c>
      <c r="K200" s="100">
        <f t="shared" si="47"/>
        <v>2</v>
      </c>
      <c r="L200" s="58">
        <f t="shared" si="47"/>
        <v>2</v>
      </c>
      <c r="M200" s="58">
        <f t="shared" si="47"/>
        <v>2</v>
      </c>
      <c r="N200" s="58">
        <f t="shared" si="47"/>
        <v>2</v>
      </c>
      <c r="O200" s="58"/>
      <c r="P200" s="58"/>
      <c r="Q200" s="58"/>
    </row>
    <row r="201" spans="1:17" ht="43.5" customHeight="1" x14ac:dyDescent="0.25">
      <c r="A201" s="94" t="s">
        <v>627</v>
      </c>
      <c r="B201" s="58">
        <v>12502</v>
      </c>
      <c r="C201" s="94" t="s">
        <v>559</v>
      </c>
      <c r="D201" s="92">
        <v>3</v>
      </c>
      <c r="E201" s="100">
        <f t="shared" si="46"/>
        <v>2</v>
      </c>
      <c r="F201" s="58">
        <f t="shared" si="48"/>
        <v>3</v>
      </c>
      <c r="G201" s="58">
        <f t="shared" si="49"/>
        <v>3</v>
      </c>
      <c r="H201" s="58">
        <f t="shared" si="50"/>
        <v>3</v>
      </c>
      <c r="I201" s="58">
        <f t="shared" si="51"/>
        <v>3</v>
      </c>
      <c r="J201" s="58">
        <f t="shared" si="52"/>
        <v>3</v>
      </c>
      <c r="K201" s="100">
        <f t="shared" si="47"/>
        <v>3</v>
      </c>
      <c r="L201" s="58">
        <f t="shared" si="47"/>
        <v>3</v>
      </c>
      <c r="M201" s="58">
        <f t="shared" si="47"/>
        <v>3</v>
      </c>
      <c r="N201" s="58">
        <f t="shared" si="47"/>
        <v>3</v>
      </c>
      <c r="O201" s="58"/>
      <c r="P201" s="58"/>
      <c r="Q201" s="58"/>
    </row>
    <row r="202" spans="1:17" ht="43.5" customHeight="1" x14ac:dyDescent="0.25">
      <c r="A202" s="94" t="s">
        <v>628</v>
      </c>
      <c r="B202" s="58">
        <v>130</v>
      </c>
      <c r="C202" s="94" t="s">
        <v>560</v>
      </c>
      <c r="D202" s="92">
        <v>4.25</v>
      </c>
      <c r="E202" s="100">
        <f>IF($D202*$E$4&lt;2.5,2,IF($D202*$E$4&gt;=2.5,3,0))</f>
        <v>2</v>
      </c>
      <c r="F202" s="58">
        <f t="shared" si="48"/>
        <v>4</v>
      </c>
      <c r="G202" s="58">
        <f t="shared" si="49"/>
        <v>4</v>
      </c>
      <c r="H202" s="58">
        <f t="shared" si="50"/>
        <v>4</v>
      </c>
      <c r="I202" s="58">
        <f t="shared" si="51"/>
        <v>4</v>
      </c>
      <c r="J202" s="58">
        <f t="shared" si="52"/>
        <v>4</v>
      </c>
      <c r="K202" s="100">
        <f>IF(AND($D202&gt;=0,$D202&lt;15),1,0)</f>
        <v>1</v>
      </c>
      <c r="L202" s="58">
        <f>IF(AND($D202&gt;=0,$D202&lt;15),1,0)</f>
        <v>1</v>
      </c>
      <c r="M202" s="58">
        <f>IF(AND($D202&gt;=0,$D202&lt;15),1,0)</f>
        <v>1</v>
      </c>
      <c r="N202" s="58">
        <f>IF(AND($D202&gt;=0,$D202&lt;15),1,0)</f>
        <v>1</v>
      </c>
      <c r="O202" s="58"/>
      <c r="P202" s="58"/>
      <c r="Q202" s="58"/>
    </row>
    <row r="203" spans="1:17" ht="43.5" customHeight="1" x14ac:dyDescent="0.25">
      <c r="A203" s="94" t="s">
        <v>628</v>
      </c>
      <c r="B203" s="58">
        <v>130005</v>
      </c>
      <c r="C203" s="94" t="s">
        <v>561</v>
      </c>
      <c r="D203" s="92">
        <v>23.4</v>
      </c>
      <c r="E203" s="100">
        <f>IF($D203*$E$4&lt;11.5,11,IF($D203*$E$4&gt;=11.5,12,0))</f>
        <v>12</v>
      </c>
      <c r="F203" s="58">
        <f t="shared" si="48"/>
        <v>23</v>
      </c>
      <c r="G203" s="58">
        <f t="shared" si="49"/>
        <v>23</v>
      </c>
      <c r="H203" s="58">
        <f t="shared" si="50"/>
        <v>23</v>
      </c>
      <c r="I203" s="58">
        <f t="shared" si="51"/>
        <v>23</v>
      </c>
      <c r="J203" s="58">
        <f t="shared" si="52"/>
        <v>23</v>
      </c>
      <c r="K203" s="100">
        <f>IF(AND($D203&gt;=15,$D203&lt;25),2,0)</f>
        <v>2</v>
      </c>
      <c r="L203" s="58">
        <f>IF(AND($D203&gt;=15,$D203&lt;25),2,0)</f>
        <v>2</v>
      </c>
      <c r="M203" s="58">
        <f>IF(AND($D203&gt;=15,$D203&lt;25),2,0)</f>
        <v>2</v>
      </c>
      <c r="N203" s="58">
        <f>IF(AND($D203&gt;=15,$D203&lt;25),2,0)</f>
        <v>2</v>
      </c>
      <c r="O203" s="58"/>
      <c r="P203" s="58"/>
      <c r="Q203" s="58"/>
    </row>
    <row r="204" spans="1:17" ht="43.5" customHeight="1" x14ac:dyDescent="0.25">
      <c r="A204" s="94" t="s">
        <v>628</v>
      </c>
      <c r="B204" s="58">
        <v>130006</v>
      </c>
      <c r="C204" s="94" t="s">
        <v>562</v>
      </c>
      <c r="D204" s="92">
        <v>7.5</v>
      </c>
      <c r="E204" s="100">
        <f>IF($D204*$E$4&lt;3.5,3,IF($D204*$E$4&lt;4.5,4,IF($D204*$E$4&gt;=4.5,5,0)))</f>
        <v>4</v>
      </c>
      <c r="F204" s="58">
        <f t="shared" si="48"/>
        <v>8</v>
      </c>
      <c r="G204" s="58">
        <f t="shared" si="49"/>
        <v>8</v>
      </c>
      <c r="H204" s="58">
        <f t="shared" si="50"/>
        <v>8</v>
      </c>
      <c r="I204" s="58">
        <f t="shared" si="51"/>
        <v>8</v>
      </c>
      <c r="J204" s="58">
        <f t="shared" si="52"/>
        <v>8</v>
      </c>
      <c r="K204" s="100">
        <f t="shared" ref="K204:N206" si="53">IF(AND($D204&gt;=0,$D204&lt;15),1,0)</f>
        <v>1</v>
      </c>
      <c r="L204" s="58">
        <f t="shared" si="53"/>
        <v>1</v>
      </c>
      <c r="M204" s="58">
        <f t="shared" si="53"/>
        <v>1</v>
      </c>
      <c r="N204" s="58">
        <f t="shared" si="53"/>
        <v>1</v>
      </c>
      <c r="O204" s="58"/>
      <c r="P204" s="58"/>
      <c r="Q204" s="58"/>
    </row>
    <row r="205" spans="1:17" ht="43.5" customHeight="1" x14ac:dyDescent="0.25">
      <c r="A205" s="94" t="s">
        <v>628</v>
      </c>
      <c r="B205" s="58">
        <v>130007</v>
      </c>
      <c r="C205" s="94" t="s">
        <v>563</v>
      </c>
      <c r="D205" s="92">
        <v>2</v>
      </c>
      <c r="E205" s="100">
        <f>IF($D205*$E$4&lt;1.5,1,IF($D205*$E$4&gt;=1.5,2,0))</f>
        <v>1</v>
      </c>
      <c r="F205" s="58">
        <f t="shared" si="48"/>
        <v>2</v>
      </c>
      <c r="G205" s="58">
        <f t="shared" si="49"/>
        <v>2</v>
      </c>
      <c r="H205" s="58">
        <f t="shared" si="50"/>
        <v>2</v>
      </c>
      <c r="I205" s="58">
        <f t="shared" si="51"/>
        <v>2</v>
      </c>
      <c r="J205" s="58">
        <f t="shared" si="52"/>
        <v>2</v>
      </c>
      <c r="K205" s="100">
        <f t="shared" si="53"/>
        <v>1</v>
      </c>
      <c r="L205" s="58">
        <f t="shared" si="53"/>
        <v>1</v>
      </c>
      <c r="M205" s="58">
        <f t="shared" si="53"/>
        <v>1</v>
      </c>
      <c r="N205" s="58">
        <f t="shared" si="53"/>
        <v>1</v>
      </c>
      <c r="O205" s="58"/>
      <c r="P205" s="58"/>
      <c r="Q205" s="58"/>
    </row>
    <row r="206" spans="1:17" ht="43.5" customHeight="1" x14ac:dyDescent="0.25">
      <c r="A206" s="94" t="s">
        <v>628</v>
      </c>
      <c r="B206" s="58">
        <v>130008</v>
      </c>
      <c r="C206" s="94" t="s">
        <v>564</v>
      </c>
      <c r="D206" s="92">
        <v>5.25</v>
      </c>
      <c r="E206" s="100">
        <f>IF($D206*$E$4&lt;2.5,2,IF($D206*$E$4&gt;=2.5,3,0))</f>
        <v>3</v>
      </c>
      <c r="F206" s="58">
        <f t="shared" si="48"/>
        <v>5</v>
      </c>
      <c r="G206" s="58">
        <f t="shared" si="49"/>
        <v>5</v>
      </c>
      <c r="H206" s="58">
        <f t="shared" si="50"/>
        <v>5</v>
      </c>
      <c r="I206" s="58">
        <f t="shared" si="51"/>
        <v>5</v>
      </c>
      <c r="J206" s="58">
        <f t="shared" si="52"/>
        <v>5</v>
      </c>
      <c r="K206" s="100">
        <f t="shared" si="53"/>
        <v>1</v>
      </c>
      <c r="L206" s="58">
        <f t="shared" si="53"/>
        <v>1</v>
      </c>
      <c r="M206" s="58">
        <f t="shared" si="53"/>
        <v>1</v>
      </c>
      <c r="N206" s="58">
        <f t="shared" si="53"/>
        <v>1</v>
      </c>
      <c r="O206" s="58"/>
      <c r="P206" s="58"/>
      <c r="Q206" s="58"/>
    </row>
    <row r="207" spans="1:17" ht="43.5" customHeight="1" x14ac:dyDescent="0.25">
      <c r="A207" s="94" t="s">
        <v>628</v>
      </c>
      <c r="B207" s="58">
        <v>130009</v>
      </c>
      <c r="C207" s="94" t="s">
        <v>382</v>
      </c>
      <c r="D207" s="92">
        <v>19.5</v>
      </c>
      <c r="E207" s="100">
        <f>IF($D207*$E$4&lt;9.5,9,IF($D207*$E$4&gt;=9.5,10,0))</f>
        <v>10</v>
      </c>
      <c r="F207" s="58">
        <f t="shared" si="48"/>
        <v>20</v>
      </c>
      <c r="G207" s="58">
        <f t="shared" si="49"/>
        <v>20</v>
      </c>
      <c r="H207" s="58">
        <f t="shared" si="50"/>
        <v>20</v>
      </c>
      <c r="I207" s="58">
        <f t="shared" si="51"/>
        <v>20</v>
      </c>
      <c r="J207" s="58">
        <f t="shared" si="52"/>
        <v>20</v>
      </c>
      <c r="K207" s="100">
        <f>IF(AND($D207&gt;=15,$D207&lt;25),2,0)</f>
        <v>2</v>
      </c>
      <c r="L207" s="58">
        <f>IF(AND($D207&gt;=15,$D207&lt;25),2,0)</f>
        <v>2</v>
      </c>
      <c r="M207" s="58">
        <f>IF(AND($D207&gt;=15,$D207&lt;25),2,0)</f>
        <v>2</v>
      </c>
      <c r="N207" s="58">
        <f>IF(AND($D207&gt;=15,$D207&lt;25),2,0)</f>
        <v>2</v>
      </c>
      <c r="O207" s="58"/>
      <c r="P207" s="58"/>
      <c r="Q207" s="58"/>
    </row>
    <row r="208" spans="1:17" ht="43.5" customHeight="1" x14ac:dyDescent="0.25">
      <c r="A208" s="94" t="s">
        <v>629</v>
      </c>
      <c r="B208" s="58">
        <v>133</v>
      </c>
      <c r="C208" s="94" t="s">
        <v>565</v>
      </c>
      <c r="D208" s="92">
        <v>0.5</v>
      </c>
      <c r="E208" s="100">
        <f>IF($D208*$E$4&lt;1.5,1,IF($D208*$E$4&gt;=1.5,2,0))</f>
        <v>1</v>
      </c>
      <c r="F208" s="58">
        <f t="shared" si="48"/>
        <v>1</v>
      </c>
      <c r="G208" s="58">
        <f t="shared" si="49"/>
        <v>1</v>
      </c>
      <c r="H208" s="58">
        <f t="shared" si="50"/>
        <v>1</v>
      </c>
      <c r="I208" s="58">
        <f t="shared" si="51"/>
        <v>1</v>
      </c>
      <c r="J208" s="58">
        <f t="shared" si="52"/>
        <v>1</v>
      </c>
      <c r="K208" s="100">
        <f t="shared" ref="K208:N211" si="54">IF(AND($D208&gt;=0,$D208&lt;15),1,0)</f>
        <v>1</v>
      </c>
      <c r="L208" s="58">
        <f t="shared" si="54"/>
        <v>1</v>
      </c>
      <c r="M208" s="58">
        <f t="shared" si="54"/>
        <v>1</v>
      </c>
      <c r="N208" s="58">
        <f t="shared" si="54"/>
        <v>1</v>
      </c>
      <c r="O208" s="58"/>
      <c r="P208" s="58"/>
      <c r="Q208" s="58"/>
    </row>
    <row r="209" spans="1:17" ht="43.5" customHeight="1" x14ac:dyDescent="0.25">
      <c r="A209" s="94" t="s">
        <v>629</v>
      </c>
      <c r="B209" s="58">
        <v>1333904</v>
      </c>
      <c r="C209" s="94" t="s">
        <v>566</v>
      </c>
      <c r="D209" s="107">
        <v>0.75</v>
      </c>
      <c r="E209" s="100">
        <f>IF($D209*$E$4&lt;1.5,1,IF($D209*$E$4&gt;=1.5,2,0))*12</f>
        <v>12</v>
      </c>
      <c r="F209" s="58">
        <f t="shared" si="48"/>
        <v>1</v>
      </c>
      <c r="G209" s="58">
        <f t="shared" si="49"/>
        <v>1</v>
      </c>
      <c r="H209" s="58">
        <f t="shared" si="50"/>
        <v>1</v>
      </c>
      <c r="I209" s="58">
        <f t="shared" si="51"/>
        <v>1</v>
      </c>
      <c r="J209" s="58">
        <f t="shared" si="52"/>
        <v>1</v>
      </c>
      <c r="K209" s="100">
        <f t="shared" si="54"/>
        <v>1</v>
      </c>
      <c r="L209" s="58">
        <f t="shared" si="54"/>
        <v>1</v>
      </c>
      <c r="M209" s="58">
        <f t="shared" si="54"/>
        <v>1</v>
      </c>
      <c r="N209" s="58">
        <f t="shared" si="54"/>
        <v>1</v>
      </c>
      <c r="O209" s="58"/>
      <c r="P209" s="58"/>
      <c r="Q209" s="58"/>
    </row>
    <row r="210" spans="1:17" ht="43.5" customHeight="1" x14ac:dyDescent="0.25">
      <c r="A210" s="94" t="s">
        <v>629</v>
      </c>
      <c r="B210" s="58">
        <v>1333905</v>
      </c>
      <c r="C210" s="94" t="s">
        <v>567</v>
      </c>
      <c r="D210" s="107">
        <v>1.5</v>
      </c>
      <c r="E210" s="100">
        <f>IF($D210*$E$4&lt;1.5,1,IF($D210*$E$4&gt;=1.5,2,0))*12</f>
        <v>12</v>
      </c>
      <c r="F210" s="58">
        <f t="shared" si="48"/>
        <v>2</v>
      </c>
      <c r="G210" s="58">
        <f t="shared" si="49"/>
        <v>2</v>
      </c>
      <c r="H210" s="58">
        <f t="shared" si="50"/>
        <v>2</v>
      </c>
      <c r="I210" s="58">
        <f t="shared" si="51"/>
        <v>2</v>
      </c>
      <c r="J210" s="58">
        <f t="shared" si="52"/>
        <v>2</v>
      </c>
      <c r="K210" s="100">
        <f t="shared" si="54"/>
        <v>1</v>
      </c>
      <c r="L210" s="58">
        <f t="shared" si="54"/>
        <v>1</v>
      </c>
      <c r="M210" s="58">
        <f t="shared" si="54"/>
        <v>1</v>
      </c>
      <c r="N210" s="58">
        <f t="shared" si="54"/>
        <v>1</v>
      </c>
      <c r="O210" s="58"/>
      <c r="P210" s="58"/>
      <c r="Q210" s="58"/>
    </row>
    <row r="211" spans="1:17" ht="51.75" customHeight="1" x14ac:dyDescent="0.25">
      <c r="A211" s="94" t="s">
        <v>630</v>
      </c>
      <c r="B211" s="58">
        <v>164</v>
      </c>
      <c r="C211" s="94" t="s">
        <v>568</v>
      </c>
      <c r="D211" s="92">
        <v>5.5</v>
      </c>
      <c r="E211" s="100">
        <f>IF($D211*$E$4&lt;2.5,2,IF($D211*$E$4&gt;=2.5,3,0))</f>
        <v>3</v>
      </c>
      <c r="F211" s="58">
        <f t="shared" si="48"/>
        <v>6</v>
      </c>
      <c r="G211" s="58">
        <f t="shared" si="49"/>
        <v>6</v>
      </c>
      <c r="H211" s="58">
        <f t="shared" si="50"/>
        <v>6</v>
      </c>
      <c r="I211" s="58">
        <f t="shared" si="51"/>
        <v>6</v>
      </c>
      <c r="J211" s="58">
        <f t="shared" si="52"/>
        <v>6</v>
      </c>
      <c r="K211" s="100">
        <f t="shared" si="54"/>
        <v>1</v>
      </c>
      <c r="L211" s="58">
        <f t="shared" si="54"/>
        <v>1</v>
      </c>
      <c r="M211" s="58">
        <f t="shared" si="54"/>
        <v>1</v>
      </c>
      <c r="N211" s="58">
        <f t="shared" si="54"/>
        <v>1</v>
      </c>
      <c r="O211" s="58"/>
      <c r="P211" s="58"/>
      <c r="Q211" s="58"/>
    </row>
    <row r="212" spans="1:17" ht="51.75" customHeight="1" x14ac:dyDescent="0.25">
      <c r="A212" s="94" t="s">
        <v>630</v>
      </c>
      <c r="B212" s="58">
        <v>16403</v>
      </c>
      <c r="C212" s="94" t="s">
        <v>569</v>
      </c>
      <c r="D212" s="92">
        <v>44.269999999999996</v>
      </c>
      <c r="E212" s="100">
        <f>IF($D212*$E$4&lt;21.5,21,IF($D212*$E$4&gt;=21.5,22,0))</f>
        <v>22</v>
      </c>
      <c r="F212" s="58">
        <f t="shared" si="48"/>
        <v>44</v>
      </c>
      <c r="G212" s="58">
        <f t="shared" si="49"/>
        <v>44</v>
      </c>
      <c r="H212" s="58">
        <f t="shared" si="50"/>
        <v>44</v>
      </c>
      <c r="I212" s="58">
        <f t="shared" si="51"/>
        <v>44</v>
      </c>
      <c r="J212" s="58">
        <f t="shared" si="52"/>
        <v>44</v>
      </c>
      <c r="K212" s="100">
        <f>IF(AND($D212&gt;=35,$D212&lt;45),4,0)</f>
        <v>4</v>
      </c>
      <c r="L212" s="58">
        <f>IF(AND($D212&gt;=35,$D212&lt;45),4,0)</f>
        <v>4</v>
      </c>
      <c r="M212" s="58">
        <f>IF(AND($D212&gt;=35,$D212&lt;45),4,0)</f>
        <v>4</v>
      </c>
      <c r="N212" s="58">
        <f>IF(AND($D212&gt;=35,$D212&lt;45),4,0)</f>
        <v>4</v>
      </c>
      <c r="O212" s="58"/>
      <c r="P212" s="58"/>
      <c r="Q212" s="58"/>
    </row>
    <row r="213" spans="1:17" ht="51.75" customHeight="1" x14ac:dyDescent="0.25">
      <c r="A213" s="94" t="s">
        <v>630</v>
      </c>
      <c r="B213" s="58">
        <v>16404</v>
      </c>
      <c r="C213" s="94" t="s">
        <v>388</v>
      </c>
      <c r="D213" s="92">
        <v>17.16</v>
      </c>
      <c r="E213" s="100">
        <f>IF($D213*$E$4&lt;8.5,8,IF($D213*$E$4&gt;=8.5,9,IF($D213*$E$4&gt;=9.5,10,0)))</f>
        <v>9</v>
      </c>
      <c r="F213" s="58">
        <f t="shared" si="48"/>
        <v>17</v>
      </c>
      <c r="G213" s="58">
        <f t="shared" si="49"/>
        <v>17</v>
      </c>
      <c r="H213" s="58">
        <f t="shared" si="50"/>
        <v>17</v>
      </c>
      <c r="I213" s="58">
        <f t="shared" si="51"/>
        <v>17</v>
      </c>
      <c r="J213" s="58">
        <f t="shared" si="52"/>
        <v>17</v>
      </c>
      <c r="K213" s="100">
        <f>IF(AND($D213&gt;=15,$D213&lt;25),2,0)</f>
        <v>2</v>
      </c>
      <c r="L213" s="58">
        <f>IF(AND($D213&gt;=15,$D213&lt;25),2,0)</f>
        <v>2</v>
      </c>
      <c r="M213" s="58">
        <f>IF(AND($D213&gt;=15,$D213&lt;25),2,0)</f>
        <v>2</v>
      </c>
      <c r="N213" s="58">
        <f>IF(AND($D213&gt;=15,$D213&lt;25),2,0)</f>
        <v>2</v>
      </c>
      <c r="O213" s="58"/>
      <c r="P213" s="58"/>
      <c r="Q213" s="58"/>
    </row>
    <row r="214" spans="1:17" ht="51.75" customHeight="1" x14ac:dyDescent="0.25">
      <c r="A214" s="94" t="s">
        <v>630</v>
      </c>
      <c r="B214" s="58">
        <v>16407</v>
      </c>
      <c r="C214" s="94" t="s">
        <v>570</v>
      </c>
      <c r="D214" s="92">
        <v>2</v>
      </c>
      <c r="E214" s="100">
        <f>IF($D214*$E$4&lt;1.5,1,IF($D214*$E$4&gt;=1.5,2,0))</f>
        <v>1</v>
      </c>
      <c r="F214" s="58">
        <f t="shared" si="48"/>
        <v>2</v>
      </c>
      <c r="G214" s="58">
        <f t="shared" si="49"/>
        <v>2</v>
      </c>
      <c r="H214" s="58">
        <f t="shared" si="50"/>
        <v>2</v>
      </c>
      <c r="I214" s="58">
        <f t="shared" si="51"/>
        <v>2</v>
      </c>
      <c r="J214" s="58">
        <f t="shared" si="52"/>
        <v>2</v>
      </c>
      <c r="K214" s="100">
        <f t="shared" ref="K214:N217" si="55">IF(AND($D214&gt;=0,$D214&lt;15),1,0)</f>
        <v>1</v>
      </c>
      <c r="L214" s="58">
        <f t="shared" si="55"/>
        <v>1</v>
      </c>
      <c r="M214" s="58">
        <f t="shared" si="55"/>
        <v>1</v>
      </c>
      <c r="N214" s="58">
        <f t="shared" si="55"/>
        <v>1</v>
      </c>
      <c r="O214" s="58"/>
      <c r="P214" s="58"/>
      <c r="Q214" s="58"/>
    </row>
    <row r="215" spans="1:17" ht="51.75" customHeight="1" x14ac:dyDescent="0.25">
      <c r="A215" s="94" t="s">
        <v>630</v>
      </c>
      <c r="B215" s="58">
        <v>16409</v>
      </c>
      <c r="C215" s="94" t="s">
        <v>392</v>
      </c>
      <c r="D215" s="92">
        <v>1</v>
      </c>
      <c r="E215" s="100">
        <f>IF($D215*$E$4&lt;1.5,1,IF($D215*$E$4&gt;=1.5,2,0))</f>
        <v>1</v>
      </c>
      <c r="F215" s="58">
        <f t="shared" si="48"/>
        <v>1</v>
      </c>
      <c r="G215" s="58">
        <f t="shared" si="49"/>
        <v>1</v>
      </c>
      <c r="H215" s="58">
        <f t="shared" si="50"/>
        <v>1</v>
      </c>
      <c r="I215" s="58">
        <f t="shared" si="51"/>
        <v>1</v>
      </c>
      <c r="J215" s="58">
        <f t="shared" si="52"/>
        <v>1</v>
      </c>
      <c r="K215" s="100">
        <f t="shared" si="55"/>
        <v>1</v>
      </c>
      <c r="L215" s="58">
        <f t="shared" si="55"/>
        <v>1</v>
      </c>
      <c r="M215" s="58">
        <f t="shared" si="55"/>
        <v>1</v>
      </c>
      <c r="N215" s="58">
        <f t="shared" si="55"/>
        <v>1</v>
      </c>
      <c r="O215" s="58"/>
      <c r="P215" s="58"/>
      <c r="Q215" s="58"/>
    </row>
    <row r="216" spans="1:17" ht="51.75" customHeight="1" x14ac:dyDescent="0.25">
      <c r="A216" s="94" t="s">
        <v>630</v>
      </c>
      <c r="B216" s="58">
        <v>16410</v>
      </c>
      <c r="C216" s="94" t="s">
        <v>508</v>
      </c>
      <c r="D216" s="92">
        <v>0.2</v>
      </c>
      <c r="E216" s="100">
        <f>IF($D216*$E$4&lt;1.5,1,IF($D216*$E$4&gt;=1.5,2,0))</f>
        <v>1</v>
      </c>
      <c r="F216" s="58">
        <f t="shared" si="48"/>
        <v>1</v>
      </c>
      <c r="G216" s="58">
        <f t="shared" si="49"/>
        <v>1</v>
      </c>
      <c r="H216" s="58">
        <f t="shared" si="50"/>
        <v>1</v>
      </c>
      <c r="I216" s="58">
        <f t="shared" si="51"/>
        <v>1</v>
      </c>
      <c r="J216" s="58">
        <f t="shared" si="52"/>
        <v>1</v>
      </c>
      <c r="K216" s="100">
        <f t="shared" si="55"/>
        <v>1</v>
      </c>
      <c r="L216" s="58">
        <f t="shared" si="55"/>
        <v>1</v>
      </c>
      <c r="M216" s="58">
        <f t="shared" si="55"/>
        <v>1</v>
      </c>
      <c r="N216" s="58">
        <f t="shared" si="55"/>
        <v>1</v>
      </c>
      <c r="O216" s="58"/>
      <c r="P216" s="58"/>
      <c r="Q216" s="58"/>
    </row>
    <row r="217" spans="1:17" ht="51.75" customHeight="1" x14ac:dyDescent="0.25">
      <c r="A217" s="94" t="s">
        <v>630</v>
      </c>
      <c r="B217" s="58">
        <v>16412</v>
      </c>
      <c r="C217" s="94" t="s">
        <v>395</v>
      </c>
      <c r="D217" s="92">
        <v>5</v>
      </c>
      <c r="E217" s="100">
        <f>IF($D217*$E$4&lt;2.5,2,IF($D217*$E$4&gt;=2.5,3,0))</f>
        <v>3</v>
      </c>
      <c r="F217" s="58">
        <f t="shared" si="48"/>
        <v>5</v>
      </c>
      <c r="G217" s="58">
        <f t="shared" si="49"/>
        <v>5</v>
      </c>
      <c r="H217" s="58">
        <f t="shared" si="50"/>
        <v>5</v>
      </c>
      <c r="I217" s="58">
        <f t="shared" si="51"/>
        <v>5</v>
      </c>
      <c r="J217" s="58">
        <f t="shared" si="52"/>
        <v>5</v>
      </c>
      <c r="K217" s="100">
        <f t="shared" si="55"/>
        <v>1</v>
      </c>
      <c r="L217" s="58">
        <f t="shared" si="55"/>
        <v>1</v>
      </c>
      <c r="M217" s="58">
        <f t="shared" si="55"/>
        <v>1</v>
      </c>
      <c r="N217" s="58">
        <f t="shared" si="55"/>
        <v>1</v>
      </c>
      <c r="O217" s="58"/>
      <c r="P217" s="58"/>
      <c r="Q217" s="58"/>
    </row>
    <row r="218" spans="1:17" ht="51.75" customHeight="1" x14ac:dyDescent="0.25">
      <c r="A218" s="94" t="s">
        <v>630</v>
      </c>
      <c r="B218" s="58">
        <v>16413</v>
      </c>
      <c r="C218" s="94" t="s">
        <v>571</v>
      </c>
      <c r="D218" s="92">
        <v>18.5</v>
      </c>
      <c r="E218" s="100">
        <f>IF($D218*$E$4&lt;8.5,8,IF($D218*$E$4&gt;=8.5,9,IF($D218*$E$4&gt;=9.5,10,0)))</f>
        <v>9</v>
      </c>
      <c r="F218" s="58">
        <f t="shared" si="48"/>
        <v>19</v>
      </c>
      <c r="G218" s="58">
        <f t="shared" si="49"/>
        <v>19</v>
      </c>
      <c r="H218" s="58">
        <f t="shared" si="50"/>
        <v>19</v>
      </c>
      <c r="I218" s="58">
        <f t="shared" si="51"/>
        <v>19</v>
      </c>
      <c r="J218" s="58">
        <f t="shared" si="52"/>
        <v>19</v>
      </c>
      <c r="K218" s="100">
        <f>IF(AND($D218&gt;=15,$D218&lt;25),2,0)</f>
        <v>2</v>
      </c>
      <c r="L218" s="58">
        <f>IF(AND($D218&gt;=15,$D218&lt;25),2,0)</f>
        <v>2</v>
      </c>
      <c r="M218" s="58">
        <f>IF(AND($D218&gt;=15,$D218&lt;25),2,0)</f>
        <v>2</v>
      </c>
      <c r="N218" s="58">
        <f>IF(AND($D218&gt;=15,$D218&lt;25),2,0)</f>
        <v>2</v>
      </c>
      <c r="O218" s="58"/>
      <c r="P218" s="58"/>
      <c r="Q218" s="58"/>
    </row>
    <row r="219" spans="1:17" ht="51.75" customHeight="1" x14ac:dyDescent="0.25">
      <c r="A219" s="94" t="s">
        <v>630</v>
      </c>
      <c r="B219" s="58">
        <v>16414</v>
      </c>
      <c r="C219" s="94" t="s">
        <v>399</v>
      </c>
      <c r="D219" s="92">
        <v>4.75</v>
      </c>
      <c r="E219" s="100">
        <f>IF($D219*$E$4&lt;2.5,2,IF($D219*$E$4&gt;=2.5,3,0))</f>
        <v>2</v>
      </c>
      <c r="F219" s="58">
        <f t="shared" si="48"/>
        <v>5</v>
      </c>
      <c r="G219" s="58">
        <f t="shared" si="49"/>
        <v>5</v>
      </c>
      <c r="H219" s="58">
        <f t="shared" si="50"/>
        <v>5</v>
      </c>
      <c r="I219" s="58">
        <f t="shared" si="51"/>
        <v>5</v>
      </c>
      <c r="J219" s="58">
        <f t="shared" si="52"/>
        <v>5</v>
      </c>
      <c r="K219" s="100">
        <f>IF(AND($D219&gt;=0,$D219&lt;15),1,0)</f>
        <v>1</v>
      </c>
      <c r="L219" s="58">
        <f>IF(AND($D219&gt;=0,$D219&lt;15),1,0)</f>
        <v>1</v>
      </c>
      <c r="M219" s="58">
        <f>IF(AND($D219&gt;=0,$D219&lt;15),1,0)</f>
        <v>1</v>
      </c>
      <c r="N219" s="58">
        <f>IF(AND($D219&gt;=0,$D219&lt;15),1,0)</f>
        <v>1</v>
      </c>
      <c r="O219" s="58"/>
      <c r="P219" s="58"/>
      <c r="Q219" s="58"/>
    </row>
    <row r="220" spans="1:17" ht="51.75" customHeight="1" x14ac:dyDescent="0.25">
      <c r="A220" s="94" t="s">
        <v>631</v>
      </c>
      <c r="B220" s="58">
        <v>179</v>
      </c>
      <c r="C220" s="94" t="s">
        <v>572</v>
      </c>
      <c r="D220" s="92">
        <v>40.5</v>
      </c>
      <c r="E220" s="100">
        <f>IF($D220*$E$4&lt;20.5,20,IF($D220*$E$4&gt;=20.5,21,0))</f>
        <v>20</v>
      </c>
      <c r="F220" s="58">
        <f t="shared" si="48"/>
        <v>41</v>
      </c>
      <c r="G220" s="58">
        <f t="shared" si="49"/>
        <v>41</v>
      </c>
      <c r="H220" s="58">
        <f t="shared" si="50"/>
        <v>41</v>
      </c>
      <c r="I220" s="58">
        <f t="shared" si="51"/>
        <v>41</v>
      </c>
      <c r="J220" s="58">
        <f t="shared" si="52"/>
        <v>41</v>
      </c>
      <c r="K220" s="100">
        <f>IF(AND($D220&gt;=35,$D220&lt;45),4,0)</f>
        <v>4</v>
      </c>
      <c r="L220" s="58">
        <f>IF(AND($D220&gt;=35,$D220&lt;45),4,0)</f>
        <v>4</v>
      </c>
      <c r="M220" s="58">
        <f>IF(AND($D220&gt;=35,$D220&lt;45),4,0)</f>
        <v>4</v>
      </c>
      <c r="N220" s="58">
        <f>IF(AND($D220&gt;=35,$D220&lt;45),4,0)</f>
        <v>4</v>
      </c>
      <c r="O220" s="58"/>
      <c r="P220" s="58"/>
      <c r="Q220" s="58"/>
    </row>
    <row r="221" spans="1:17" ht="51.75" customHeight="1" x14ac:dyDescent="0.25">
      <c r="A221" s="94" t="s">
        <v>632</v>
      </c>
      <c r="B221" s="58">
        <v>1791</v>
      </c>
      <c r="C221" s="94" t="s">
        <v>403</v>
      </c>
      <c r="D221" s="92">
        <v>2</v>
      </c>
      <c r="E221" s="100">
        <f>IF($D221*$E$4&lt;1.5,1,IF($D221*$E$4&gt;=1.5,2,0))</f>
        <v>1</v>
      </c>
      <c r="F221" s="58">
        <f t="shared" si="48"/>
        <v>2</v>
      </c>
      <c r="G221" s="58">
        <f t="shared" si="49"/>
        <v>2</v>
      </c>
      <c r="H221" s="58">
        <f t="shared" si="50"/>
        <v>2</v>
      </c>
      <c r="I221" s="58">
        <f t="shared" si="51"/>
        <v>2</v>
      </c>
      <c r="J221" s="58">
        <f t="shared" si="52"/>
        <v>2</v>
      </c>
      <c r="K221" s="100">
        <f>IF(AND($D221&gt;=0,$D221&lt;15),1,0)</f>
        <v>1</v>
      </c>
      <c r="L221" s="58">
        <f>IF(AND($D221&gt;=0,$D221&lt;15),1,0)</f>
        <v>1</v>
      </c>
      <c r="M221" s="58">
        <f>IF(AND($D221&gt;=0,$D221&lt;15),1,0)</f>
        <v>1</v>
      </c>
      <c r="N221" s="58">
        <f>IF(AND($D221&gt;=0,$D221&lt;15),1,0)</f>
        <v>1</v>
      </c>
      <c r="O221" s="58"/>
      <c r="P221" s="58"/>
      <c r="Q221" s="58"/>
    </row>
    <row r="222" spans="1:17" ht="51.75" customHeight="1" x14ac:dyDescent="0.25">
      <c r="A222" s="94" t="s">
        <v>632</v>
      </c>
      <c r="B222" s="58">
        <v>1792</v>
      </c>
      <c r="C222" s="94" t="s">
        <v>573</v>
      </c>
      <c r="D222" s="92">
        <v>20.5</v>
      </c>
      <c r="E222" s="100">
        <f>IF($D222*$E$4&lt;9.5,9,IF($D222*$E$4&gt;=9.5,10,0))</f>
        <v>10</v>
      </c>
      <c r="F222" s="58">
        <f t="shared" si="48"/>
        <v>21</v>
      </c>
      <c r="G222" s="58">
        <f t="shared" si="49"/>
        <v>21</v>
      </c>
      <c r="H222" s="58">
        <f t="shared" si="50"/>
        <v>21</v>
      </c>
      <c r="I222" s="58">
        <f t="shared" si="51"/>
        <v>21</v>
      </c>
      <c r="J222" s="58">
        <f t="shared" si="52"/>
        <v>21</v>
      </c>
      <c r="K222" s="100">
        <f>IF(AND($D222&gt;=15,$D222&lt;25),2,0)</f>
        <v>2</v>
      </c>
      <c r="L222" s="58">
        <f>IF(AND($D222&gt;=15,$D222&lt;25),2,0)</f>
        <v>2</v>
      </c>
      <c r="M222" s="58">
        <f>IF(AND($D222&gt;=15,$D222&lt;25),2,0)</f>
        <v>2</v>
      </c>
      <c r="N222" s="58">
        <f>IF(AND($D222&gt;=15,$D222&lt;25),2,0)</f>
        <v>2</v>
      </c>
      <c r="O222" s="58"/>
      <c r="P222" s="58"/>
      <c r="Q222" s="58"/>
    </row>
    <row r="223" spans="1:17" ht="51.75" customHeight="1" x14ac:dyDescent="0.25">
      <c r="A223" s="94" t="s">
        <v>632</v>
      </c>
      <c r="B223" s="58">
        <v>1793</v>
      </c>
      <c r="C223" s="94" t="s">
        <v>407</v>
      </c>
      <c r="D223" s="92">
        <v>3</v>
      </c>
      <c r="E223" s="100">
        <f>IF($D223*$E$4&lt;1.5,1,IF($D223*$E$4&gt;=1.5,2,0))</f>
        <v>2</v>
      </c>
      <c r="F223" s="58">
        <f t="shared" si="48"/>
        <v>3</v>
      </c>
      <c r="G223" s="58">
        <f t="shared" si="49"/>
        <v>3</v>
      </c>
      <c r="H223" s="58">
        <f t="shared" si="50"/>
        <v>3</v>
      </c>
      <c r="I223" s="58">
        <f t="shared" si="51"/>
        <v>3</v>
      </c>
      <c r="J223" s="58">
        <f t="shared" si="52"/>
        <v>3</v>
      </c>
      <c r="K223" s="100">
        <f t="shared" ref="K223:N225" si="56">IF(AND($D223&gt;=0,$D223&lt;15),1,0)</f>
        <v>1</v>
      </c>
      <c r="L223" s="58">
        <f t="shared" si="56"/>
        <v>1</v>
      </c>
      <c r="M223" s="58">
        <f t="shared" si="56"/>
        <v>1</v>
      </c>
      <c r="N223" s="58">
        <f t="shared" si="56"/>
        <v>1</v>
      </c>
      <c r="O223" s="58"/>
      <c r="P223" s="58"/>
      <c r="Q223" s="58"/>
    </row>
    <row r="224" spans="1:17" ht="51.75" customHeight="1" x14ac:dyDescent="0.25">
      <c r="A224" s="94" t="s">
        <v>632</v>
      </c>
      <c r="B224" s="58">
        <v>1794</v>
      </c>
      <c r="C224" s="94" t="s">
        <v>395</v>
      </c>
      <c r="D224" s="107">
        <v>11</v>
      </c>
      <c r="E224" s="100">
        <f>IF($D224*$E$4&lt;3.5,3,IF($D224*$E$4&lt;4.5,4,IF($D224*$E$4&gt;=4.5,5,0)))*4</f>
        <v>20</v>
      </c>
      <c r="F224" s="58">
        <f t="shared" si="48"/>
        <v>11</v>
      </c>
      <c r="G224" s="58">
        <f t="shared" si="49"/>
        <v>11</v>
      </c>
      <c r="H224" s="58">
        <f t="shared" si="50"/>
        <v>11</v>
      </c>
      <c r="I224" s="58">
        <f t="shared" si="51"/>
        <v>11</v>
      </c>
      <c r="J224" s="58">
        <f t="shared" si="52"/>
        <v>11</v>
      </c>
      <c r="K224" s="100">
        <f t="shared" si="56"/>
        <v>1</v>
      </c>
      <c r="L224" s="58">
        <f t="shared" si="56"/>
        <v>1</v>
      </c>
      <c r="M224" s="58">
        <f t="shared" si="56"/>
        <v>1</v>
      </c>
      <c r="N224" s="58">
        <f t="shared" si="56"/>
        <v>1</v>
      </c>
      <c r="O224" s="58"/>
      <c r="P224" s="58"/>
      <c r="Q224" s="58"/>
    </row>
    <row r="225" spans="1:17" ht="51.75" customHeight="1" x14ac:dyDescent="0.25">
      <c r="A225" s="94" t="s">
        <v>632</v>
      </c>
      <c r="B225" s="58">
        <v>1795</v>
      </c>
      <c r="C225" s="94" t="s">
        <v>410</v>
      </c>
      <c r="D225" s="92">
        <v>9.9999999999999978E-2</v>
      </c>
      <c r="E225" s="100">
        <f>IF($D225*$E$4&lt;1.5,1,IF($D225*$E$4&gt;=1.5,2,0))</f>
        <v>1</v>
      </c>
      <c r="F225" s="58">
        <f t="shared" si="48"/>
        <v>1</v>
      </c>
      <c r="G225" s="58">
        <f t="shared" si="49"/>
        <v>1</v>
      </c>
      <c r="H225" s="58">
        <f t="shared" si="50"/>
        <v>1</v>
      </c>
      <c r="I225" s="58">
        <f t="shared" si="51"/>
        <v>1</v>
      </c>
      <c r="J225" s="58">
        <f t="shared" si="52"/>
        <v>1</v>
      </c>
      <c r="K225" s="100">
        <f t="shared" si="56"/>
        <v>1</v>
      </c>
      <c r="L225" s="58">
        <f t="shared" si="56"/>
        <v>1</v>
      </c>
      <c r="M225" s="58">
        <f t="shared" si="56"/>
        <v>1</v>
      </c>
      <c r="N225" s="58">
        <f t="shared" si="56"/>
        <v>1</v>
      </c>
      <c r="O225" s="58"/>
      <c r="P225" s="58"/>
      <c r="Q225" s="58"/>
    </row>
  </sheetData>
  <sheetProtection password="CC4D" sheet="1" objects="1" scenarios="1" insertRows="0" autoFilter="0"/>
  <autoFilter ref="A5:Q225"/>
  <mergeCells count="4">
    <mergeCell ref="A2:A3"/>
    <mergeCell ref="A4:C4"/>
    <mergeCell ref="B2:B3"/>
    <mergeCell ref="C2:C3"/>
  </mergeCells>
  <pageMargins left="0.25" right="0.25" top="0.75" bottom="0.75" header="0.3" footer="0.3"/>
  <pageSetup paperSize="9" scale="1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W234"/>
  <sheetViews>
    <sheetView topLeftCell="B1" zoomScale="82" zoomScaleNormal="82" workbookViewId="0">
      <selection activeCell="V5" sqref="V5"/>
    </sheetView>
  </sheetViews>
  <sheetFormatPr defaultColWidth="9.140625" defaultRowHeight="15.75" x14ac:dyDescent="0.25"/>
  <cols>
    <col min="1" max="1" width="42.7109375" style="53" customWidth="1"/>
    <col min="2" max="2" width="12.42578125" style="53" customWidth="1"/>
    <col min="3" max="3" width="47" style="53" customWidth="1"/>
    <col min="4" max="4" width="12.7109375" style="73" bestFit="1" customWidth="1"/>
    <col min="5" max="5" width="10.5703125" style="53" customWidth="1"/>
    <col min="6" max="17" width="9.140625" style="53" customWidth="1"/>
    <col min="18" max="18" width="10.42578125" style="53" bestFit="1" customWidth="1"/>
    <col min="19" max="20" width="9.140625" style="53"/>
    <col min="21" max="21" width="12.42578125" style="53" bestFit="1" customWidth="1"/>
    <col min="22" max="22" width="37" style="53" customWidth="1"/>
    <col min="23" max="23" width="31.42578125" style="53" bestFit="1" customWidth="1"/>
    <col min="24" max="16384" width="9.140625" style="53"/>
  </cols>
  <sheetData>
    <row r="1" spans="1:23" ht="63" x14ac:dyDescent="0.25">
      <c r="E1" s="54" t="s">
        <v>1</v>
      </c>
      <c r="F1" s="55" t="s">
        <v>2</v>
      </c>
      <c r="G1" s="55" t="s">
        <v>3</v>
      </c>
      <c r="H1" s="56" t="s">
        <v>4</v>
      </c>
      <c r="I1" s="56" t="s">
        <v>5</v>
      </c>
      <c r="J1" s="57" t="s">
        <v>6</v>
      </c>
      <c r="K1" s="57" t="s">
        <v>7</v>
      </c>
      <c r="L1" s="57" t="s">
        <v>8</v>
      </c>
      <c r="M1" s="57" t="s">
        <v>9</v>
      </c>
      <c r="N1" s="57" t="s">
        <v>10</v>
      </c>
      <c r="O1" s="57" t="s">
        <v>11</v>
      </c>
      <c r="P1" s="56" t="s">
        <v>12</v>
      </c>
      <c r="Q1" s="58" t="s">
        <v>13</v>
      </c>
    </row>
    <row r="2" spans="1:23" ht="78.75" x14ac:dyDescent="0.25">
      <c r="A2" s="66" t="s">
        <v>574</v>
      </c>
      <c r="B2" s="66" t="s">
        <v>23</v>
      </c>
      <c r="C2" s="66"/>
      <c r="D2" s="74" t="s">
        <v>25</v>
      </c>
      <c r="E2" s="60" t="s">
        <v>15</v>
      </c>
      <c r="F2" s="60" t="s">
        <v>16</v>
      </c>
      <c r="G2" s="60" t="s">
        <v>16</v>
      </c>
      <c r="H2" s="60" t="s">
        <v>17</v>
      </c>
      <c r="I2" s="60" t="s">
        <v>18</v>
      </c>
      <c r="J2" s="60" t="s">
        <v>18</v>
      </c>
      <c r="K2" s="60" t="s">
        <v>17</v>
      </c>
      <c r="L2" s="60" t="s">
        <v>19</v>
      </c>
      <c r="M2" s="60" t="s">
        <v>18</v>
      </c>
      <c r="N2" s="60" t="s">
        <v>15</v>
      </c>
      <c r="O2" s="60"/>
      <c r="P2" s="60" t="s">
        <v>20</v>
      </c>
      <c r="Q2" s="60" t="s">
        <v>20</v>
      </c>
    </row>
    <row r="3" spans="1:23" s="67" customFormat="1" x14ac:dyDescent="0.25">
      <c r="E3" s="65">
        <f>0.5</f>
        <v>0.5</v>
      </c>
      <c r="F3" s="65">
        <v>1</v>
      </c>
      <c r="G3" s="65">
        <v>1</v>
      </c>
      <c r="H3" s="65">
        <v>1</v>
      </c>
      <c r="I3" s="65">
        <v>1</v>
      </c>
      <c r="J3" s="65">
        <v>1</v>
      </c>
      <c r="K3" s="65">
        <v>1</v>
      </c>
      <c r="L3" s="65">
        <v>1</v>
      </c>
      <c r="M3" s="65">
        <v>1</v>
      </c>
      <c r="N3" s="65">
        <v>1</v>
      </c>
      <c r="O3" s="118" t="s">
        <v>22</v>
      </c>
      <c r="P3" s="119"/>
      <c r="Q3" s="120"/>
      <c r="U3" s="66" t="s">
        <v>23</v>
      </c>
      <c r="V3" s="66" t="s">
        <v>574</v>
      </c>
      <c r="W3" s="66" t="s">
        <v>575</v>
      </c>
    </row>
    <row r="4" spans="1:23" s="61" customFormat="1" ht="47.25" customHeight="1" x14ac:dyDescent="0.25">
      <c r="E4" s="121" t="s">
        <v>26</v>
      </c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2"/>
      <c r="R4" s="61" t="b">
        <f t="shared" ref="R4:R35" si="0">B5=U4</f>
        <v>1</v>
      </c>
      <c r="U4" s="68">
        <v>1</v>
      </c>
      <c r="V4" s="59" t="s">
        <v>577</v>
      </c>
      <c r="W4" s="59">
        <v>5.25</v>
      </c>
    </row>
    <row r="5" spans="1:23" s="61" customFormat="1" ht="49.5" customHeight="1" x14ac:dyDescent="0.25">
      <c r="A5" s="59" t="str">
        <f t="shared" ref="A5:A68" si="1">VLOOKUP(B5,$U$4:$V$223,2,FALSE)</f>
        <v>001   ВГУЭС   Владивостокский Государственный Университет Экономики и Сервиса</v>
      </c>
      <c r="B5" s="82">
        <v>1</v>
      </c>
      <c r="C5" s="59" t="s">
        <v>28</v>
      </c>
      <c r="D5" s="83">
        <f t="shared" ref="D5:D68" si="2">VLOOKUP(B5,$U$4:$W$223,3,FALSE)</f>
        <v>5.25</v>
      </c>
      <c r="E5" s="123" t="s">
        <v>29</v>
      </c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61" t="b">
        <f t="shared" si="0"/>
        <v>1</v>
      </c>
      <c r="U5" s="59">
        <v>1002</v>
      </c>
      <c r="V5" s="59" t="s">
        <v>578</v>
      </c>
      <c r="W5" s="59">
        <v>4</v>
      </c>
    </row>
    <row r="6" spans="1:23" s="61" customFormat="1" ht="37.5" customHeight="1" x14ac:dyDescent="0.25">
      <c r="A6" s="59" t="str">
        <f t="shared" si="1"/>
        <v>120   МИОСТ   Международный институт окружающей среды и туризма</v>
      </c>
      <c r="B6" s="82">
        <v>1002</v>
      </c>
      <c r="C6" s="59" t="s">
        <v>411</v>
      </c>
      <c r="D6" s="83">
        <f t="shared" si="2"/>
        <v>4</v>
      </c>
      <c r="E6" s="75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1" t="b">
        <f t="shared" si="0"/>
        <v>1</v>
      </c>
      <c r="U6" s="59">
        <v>100226</v>
      </c>
      <c r="V6" s="59" t="s">
        <v>578</v>
      </c>
      <c r="W6" s="59">
        <v>0.25</v>
      </c>
    </row>
    <row r="7" spans="1:23" s="61" customFormat="1" ht="37.5" customHeight="1" x14ac:dyDescent="0.25">
      <c r="A7" s="59" t="str">
        <f t="shared" si="1"/>
        <v>120   МИОСТ   Международный институт окружающей среды и туризма</v>
      </c>
      <c r="B7" s="82">
        <v>100226</v>
      </c>
      <c r="C7" s="59" t="s">
        <v>412</v>
      </c>
      <c r="D7" s="83">
        <f t="shared" si="2"/>
        <v>0.25</v>
      </c>
      <c r="E7" s="75"/>
      <c r="F7" s="69"/>
      <c r="G7" s="69"/>
      <c r="H7" s="69"/>
      <c r="I7" s="69"/>
      <c r="J7" s="69"/>
      <c r="K7" s="69"/>
      <c r="L7" s="69"/>
      <c r="M7" s="69"/>
      <c r="N7" s="69"/>
      <c r="O7" s="63"/>
      <c r="P7" s="63"/>
      <c r="Q7" s="63"/>
      <c r="R7" s="61" t="b">
        <f t="shared" si="0"/>
        <v>1</v>
      </c>
      <c r="U7" s="59">
        <v>100228</v>
      </c>
      <c r="V7" s="59" t="s">
        <v>578</v>
      </c>
      <c r="W7" s="59">
        <v>10.1</v>
      </c>
    </row>
    <row r="8" spans="1:23" s="61" customFormat="1" ht="37.5" customHeight="1" x14ac:dyDescent="0.25">
      <c r="A8" s="59" t="str">
        <f t="shared" si="1"/>
        <v>120   МИОСТ   Международный институт окружающей среды и туризма</v>
      </c>
      <c r="B8" s="82">
        <v>100228</v>
      </c>
      <c r="C8" s="59" t="s">
        <v>413</v>
      </c>
      <c r="D8" s="83">
        <f t="shared" si="2"/>
        <v>10.1</v>
      </c>
      <c r="E8" s="75"/>
      <c r="F8" s="69"/>
      <c r="G8" s="69"/>
      <c r="H8" s="69"/>
      <c r="I8" s="69"/>
      <c r="J8" s="69"/>
      <c r="K8" s="69"/>
      <c r="L8" s="69"/>
      <c r="M8" s="69"/>
      <c r="N8" s="69"/>
      <c r="O8" s="63"/>
      <c r="P8" s="63"/>
      <c r="Q8" s="63"/>
      <c r="R8" s="61" t="b">
        <f t="shared" si="0"/>
        <v>1</v>
      </c>
      <c r="U8" s="59">
        <v>100230</v>
      </c>
      <c r="V8" s="59" t="s">
        <v>578</v>
      </c>
      <c r="W8" s="59">
        <v>4.5</v>
      </c>
    </row>
    <row r="9" spans="1:23" s="61" customFormat="1" ht="37.5" customHeight="1" x14ac:dyDescent="0.25">
      <c r="A9" s="59" t="str">
        <f t="shared" si="1"/>
        <v>120   МИОСТ   Международный институт окружающей среды и туризма</v>
      </c>
      <c r="B9" s="82">
        <v>100230</v>
      </c>
      <c r="C9" s="59" t="s">
        <v>414</v>
      </c>
      <c r="D9" s="83">
        <f t="shared" si="2"/>
        <v>4.5</v>
      </c>
      <c r="E9" s="75"/>
      <c r="F9" s="69"/>
      <c r="G9" s="69"/>
      <c r="H9" s="69"/>
      <c r="I9" s="69"/>
      <c r="J9" s="69"/>
      <c r="K9" s="69"/>
      <c r="L9" s="69"/>
      <c r="M9" s="69"/>
      <c r="N9" s="69"/>
      <c r="O9" s="63"/>
      <c r="P9" s="63"/>
      <c r="Q9" s="63"/>
      <c r="R9" s="61" t="b">
        <f t="shared" si="0"/>
        <v>1</v>
      </c>
      <c r="U9" s="59">
        <v>100231</v>
      </c>
      <c r="V9" s="59" t="s">
        <v>578</v>
      </c>
      <c r="W9" s="59">
        <v>0.1</v>
      </c>
    </row>
    <row r="10" spans="1:23" s="61" customFormat="1" ht="37.5" customHeight="1" x14ac:dyDescent="0.25">
      <c r="A10" s="59" t="str">
        <f t="shared" si="1"/>
        <v>120   МИОСТ   Международный институт окружающей среды и туризма</v>
      </c>
      <c r="B10" s="82">
        <v>100231</v>
      </c>
      <c r="C10" s="59" t="s">
        <v>415</v>
      </c>
      <c r="D10" s="83">
        <f t="shared" si="2"/>
        <v>0.1</v>
      </c>
      <c r="E10" s="75"/>
      <c r="F10" s="63"/>
      <c r="G10" s="63"/>
      <c r="H10" s="63"/>
      <c r="I10" s="63"/>
      <c r="J10" s="63"/>
      <c r="K10" s="69"/>
      <c r="L10" s="63"/>
      <c r="M10" s="63"/>
      <c r="N10" s="63"/>
      <c r="O10" s="59"/>
      <c r="P10" s="59"/>
      <c r="Q10" s="59"/>
      <c r="R10" s="61" t="b">
        <f t="shared" si="0"/>
        <v>1</v>
      </c>
      <c r="U10" s="59">
        <v>1004</v>
      </c>
      <c r="V10" s="59" t="s">
        <v>579</v>
      </c>
      <c r="W10" s="59">
        <v>3.5</v>
      </c>
    </row>
    <row r="11" spans="1:23" s="61" customFormat="1" ht="37.5" customHeight="1" x14ac:dyDescent="0.25">
      <c r="A11" s="59" t="str">
        <f t="shared" si="1"/>
        <v>130   ИПЛ   Институт педагогики и лингвистики</v>
      </c>
      <c r="B11" s="82">
        <v>1004</v>
      </c>
      <c r="C11" s="59" t="s">
        <v>416</v>
      </c>
      <c r="D11" s="83">
        <f t="shared" si="2"/>
        <v>3.5</v>
      </c>
      <c r="E11" s="75"/>
      <c r="F11" s="69"/>
      <c r="G11" s="69"/>
      <c r="H11" s="69"/>
      <c r="I11" s="69"/>
      <c r="J11" s="69"/>
      <c r="K11" s="69"/>
      <c r="L11" s="69"/>
      <c r="M11" s="69"/>
      <c r="N11" s="69"/>
      <c r="O11" s="63"/>
      <c r="P11" s="63"/>
      <c r="Q11" s="63"/>
      <c r="R11" s="61" t="b">
        <f t="shared" si="0"/>
        <v>1</v>
      </c>
      <c r="U11" s="59">
        <v>100401</v>
      </c>
      <c r="V11" s="59" t="s">
        <v>579</v>
      </c>
      <c r="W11" s="59">
        <v>28.1</v>
      </c>
    </row>
    <row r="12" spans="1:23" s="61" customFormat="1" ht="37.5" customHeight="1" x14ac:dyDescent="0.25">
      <c r="A12" s="59" t="str">
        <f t="shared" si="1"/>
        <v>130   ИПЛ   Институт педагогики и лингвистики</v>
      </c>
      <c r="B12" s="82">
        <v>100401</v>
      </c>
      <c r="C12" s="59" t="s">
        <v>417</v>
      </c>
      <c r="D12" s="83">
        <f t="shared" si="2"/>
        <v>28.1</v>
      </c>
      <c r="E12" s="75"/>
      <c r="F12" s="69"/>
      <c r="G12" s="69"/>
      <c r="H12" s="69"/>
      <c r="I12" s="69"/>
      <c r="J12" s="69"/>
      <c r="K12" s="69"/>
      <c r="L12" s="69"/>
      <c r="M12" s="69"/>
      <c r="N12" s="69"/>
      <c r="O12" s="63"/>
      <c r="P12" s="63"/>
      <c r="Q12" s="63"/>
      <c r="R12" s="61" t="b">
        <f t="shared" si="0"/>
        <v>1</v>
      </c>
      <c r="U12" s="59">
        <v>100403</v>
      </c>
      <c r="V12" s="59" t="s">
        <v>579</v>
      </c>
      <c r="W12" s="59">
        <v>8</v>
      </c>
    </row>
    <row r="13" spans="1:23" s="61" customFormat="1" ht="37.5" customHeight="1" x14ac:dyDescent="0.25">
      <c r="A13" s="59" t="str">
        <f t="shared" si="1"/>
        <v>130   ИПЛ   Институт педагогики и лингвистики</v>
      </c>
      <c r="B13" s="82">
        <v>100403</v>
      </c>
      <c r="C13" s="59" t="s">
        <v>418</v>
      </c>
      <c r="D13" s="83">
        <f t="shared" si="2"/>
        <v>8</v>
      </c>
      <c r="E13" s="75"/>
      <c r="F13" s="69"/>
      <c r="G13" s="69"/>
      <c r="H13" s="69"/>
      <c r="I13" s="69"/>
      <c r="J13" s="69"/>
      <c r="K13" s="69"/>
      <c r="L13" s="69"/>
      <c r="M13" s="69"/>
      <c r="N13" s="69"/>
      <c r="O13" s="63"/>
      <c r="P13" s="63"/>
      <c r="Q13" s="63"/>
      <c r="R13" s="61" t="b">
        <f t="shared" si="0"/>
        <v>1</v>
      </c>
      <c r="U13" s="59">
        <v>100404</v>
      </c>
      <c r="V13" s="59" t="s">
        <v>579</v>
      </c>
      <c r="W13" s="59">
        <v>2.5</v>
      </c>
    </row>
    <row r="14" spans="1:23" s="61" customFormat="1" ht="37.5" customHeight="1" x14ac:dyDescent="0.25">
      <c r="A14" s="59" t="str">
        <f t="shared" si="1"/>
        <v>130   ИПЛ   Институт педагогики и лингвистики</v>
      </c>
      <c r="B14" s="82">
        <v>100404</v>
      </c>
      <c r="C14" s="59" t="s">
        <v>45</v>
      </c>
      <c r="D14" s="83">
        <f t="shared" si="2"/>
        <v>2.5</v>
      </c>
      <c r="E14" s="75"/>
      <c r="F14" s="69"/>
      <c r="G14" s="69"/>
      <c r="H14" s="69"/>
      <c r="I14" s="69"/>
      <c r="J14" s="69"/>
      <c r="K14" s="69"/>
      <c r="L14" s="69"/>
      <c r="M14" s="69"/>
      <c r="N14" s="69"/>
      <c r="O14" s="63"/>
      <c r="P14" s="63"/>
      <c r="Q14" s="63"/>
      <c r="R14" s="61" t="b">
        <f t="shared" si="0"/>
        <v>1</v>
      </c>
      <c r="U14" s="59">
        <v>100407</v>
      </c>
      <c r="V14" s="59" t="s">
        <v>579</v>
      </c>
      <c r="W14" s="59">
        <v>10.3</v>
      </c>
    </row>
    <row r="15" spans="1:23" s="61" customFormat="1" ht="37.5" customHeight="1" x14ac:dyDescent="0.25">
      <c r="A15" s="59" t="str">
        <f t="shared" si="1"/>
        <v>130   ИПЛ   Институт педагогики и лингвистики</v>
      </c>
      <c r="B15" s="82">
        <v>100407</v>
      </c>
      <c r="C15" s="59" t="s">
        <v>419</v>
      </c>
      <c r="D15" s="83">
        <f t="shared" si="2"/>
        <v>10.3</v>
      </c>
      <c r="E15" s="75"/>
      <c r="F15" s="69"/>
      <c r="G15" s="69"/>
      <c r="H15" s="69"/>
      <c r="I15" s="69"/>
      <c r="J15" s="69"/>
      <c r="K15" s="69"/>
      <c r="L15" s="69"/>
      <c r="M15" s="69"/>
      <c r="N15" s="69"/>
      <c r="O15" s="63"/>
      <c r="P15" s="63"/>
      <c r="Q15" s="63"/>
      <c r="R15" s="61" t="b">
        <f t="shared" si="0"/>
        <v>1</v>
      </c>
      <c r="U15" s="59">
        <v>100409</v>
      </c>
      <c r="V15" s="59" t="s">
        <v>579</v>
      </c>
      <c r="W15" s="59">
        <v>1</v>
      </c>
    </row>
    <row r="16" spans="1:23" s="61" customFormat="1" ht="37.5" customHeight="1" x14ac:dyDescent="0.25">
      <c r="A16" s="59" t="str">
        <f t="shared" si="1"/>
        <v>130   ИПЛ   Институт педагогики и лингвистики</v>
      </c>
      <c r="B16" s="82">
        <v>100409</v>
      </c>
      <c r="C16" s="59" t="s">
        <v>420</v>
      </c>
      <c r="D16" s="83">
        <f t="shared" si="2"/>
        <v>1</v>
      </c>
      <c r="E16" s="75"/>
      <c r="F16" s="69"/>
      <c r="G16" s="69"/>
      <c r="H16" s="69"/>
      <c r="I16" s="69"/>
      <c r="J16" s="69"/>
      <c r="K16" s="69"/>
      <c r="L16" s="69"/>
      <c r="M16" s="69"/>
      <c r="N16" s="69"/>
      <c r="O16" s="63"/>
      <c r="P16" s="63"/>
      <c r="Q16" s="63"/>
      <c r="R16" s="61" t="b">
        <f t="shared" si="0"/>
        <v>1</v>
      </c>
      <c r="U16" s="59">
        <v>100410</v>
      </c>
      <c r="V16" s="59" t="s">
        <v>579</v>
      </c>
      <c r="W16" s="59">
        <v>0.7</v>
      </c>
    </row>
    <row r="17" spans="1:23" s="61" customFormat="1" ht="37.5" customHeight="1" x14ac:dyDescent="0.25">
      <c r="A17" s="59" t="str">
        <f t="shared" si="1"/>
        <v>130   ИПЛ   Институт педагогики и лингвистики</v>
      </c>
      <c r="B17" s="82">
        <v>100410</v>
      </c>
      <c r="C17" s="59" t="s">
        <v>421</v>
      </c>
      <c r="D17" s="83">
        <f t="shared" si="2"/>
        <v>0.7</v>
      </c>
      <c r="E17" s="72"/>
      <c r="F17" s="70"/>
      <c r="G17" s="70"/>
      <c r="H17" s="70"/>
      <c r="I17" s="70"/>
      <c r="J17" s="70"/>
      <c r="K17" s="69"/>
      <c r="L17" s="70"/>
      <c r="M17" s="70"/>
      <c r="N17" s="70"/>
      <c r="R17" s="61" t="b">
        <f t="shared" si="0"/>
        <v>1</v>
      </c>
      <c r="U17" s="59">
        <v>1008</v>
      </c>
      <c r="V17" s="59" t="s">
        <v>580</v>
      </c>
      <c r="W17" s="59">
        <v>2</v>
      </c>
    </row>
    <row r="18" spans="1:23" s="61" customFormat="1" ht="37.5" customHeight="1" x14ac:dyDescent="0.25">
      <c r="A18" s="59" t="str">
        <f t="shared" si="1"/>
        <v>180   ИЗДО   Институт заочного дистанционного обучения</v>
      </c>
      <c r="B18" s="82">
        <v>1008</v>
      </c>
      <c r="C18" s="59" t="s">
        <v>422</v>
      </c>
      <c r="D18" s="83">
        <f t="shared" si="2"/>
        <v>2</v>
      </c>
      <c r="E18" s="75"/>
      <c r="F18" s="69"/>
      <c r="G18" s="69"/>
      <c r="H18" s="69"/>
      <c r="I18" s="69"/>
      <c r="J18" s="69"/>
      <c r="K18" s="69"/>
      <c r="L18" s="69"/>
      <c r="M18" s="69"/>
      <c r="N18" s="69"/>
      <c r="O18" s="63"/>
      <c r="P18" s="63"/>
      <c r="Q18" s="63"/>
      <c r="R18" s="61" t="b">
        <f t="shared" si="0"/>
        <v>1</v>
      </c>
      <c r="U18" s="59">
        <v>100802</v>
      </c>
      <c r="V18" s="59" t="s">
        <v>580</v>
      </c>
      <c r="W18" s="59">
        <v>9</v>
      </c>
    </row>
    <row r="19" spans="1:23" s="61" customFormat="1" ht="37.5" customHeight="1" x14ac:dyDescent="0.25">
      <c r="A19" s="59" t="str">
        <f t="shared" si="1"/>
        <v>180   ИЗДО   Институт заочного дистанционного обучения</v>
      </c>
      <c r="B19" s="82">
        <v>100802</v>
      </c>
      <c r="C19" s="59" t="s">
        <v>423</v>
      </c>
      <c r="D19" s="83">
        <f t="shared" si="2"/>
        <v>9</v>
      </c>
      <c r="E19" s="75"/>
      <c r="F19" s="69"/>
      <c r="G19" s="69"/>
      <c r="H19" s="69"/>
      <c r="I19" s="69"/>
      <c r="J19" s="69"/>
      <c r="K19" s="69"/>
      <c r="L19" s="69"/>
      <c r="M19" s="69"/>
      <c r="N19" s="69"/>
      <c r="O19" s="63"/>
      <c r="P19" s="63"/>
      <c r="Q19" s="63"/>
      <c r="R19" s="61" t="b">
        <f t="shared" si="0"/>
        <v>1</v>
      </c>
      <c r="U19" s="59">
        <v>100803</v>
      </c>
      <c r="V19" s="59" t="s">
        <v>580</v>
      </c>
      <c r="W19" s="59">
        <v>5.5</v>
      </c>
    </row>
    <row r="20" spans="1:23" s="61" customFormat="1" ht="37.5" customHeight="1" x14ac:dyDescent="0.25">
      <c r="A20" s="59" t="str">
        <f t="shared" si="1"/>
        <v>180   ИЗДО   Институт заочного дистанционного обучения</v>
      </c>
      <c r="B20" s="82">
        <v>100803</v>
      </c>
      <c r="C20" s="59" t="s">
        <v>424</v>
      </c>
      <c r="D20" s="83">
        <f t="shared" si="2"/>
        <v>5.5</v>
      </c>
      <c r="E20" s="75"/>
      <c r="F20" s="69"/>
      <c r="G20" s="69"/>
      <c r="H20" s="69"/>
      <c r="I20" s="69"/>
      <c r="J20" s="69"/>
      <c r="K20" s="69"/>
      <c r="L20" s="69"/>
      <c r="M20" s="69"/>
      <c r="N20" s="69"/>
      <c r="O20" s="63"/>
      <c r="P20" s="63"/>
      <c r="Q20" s="63"/>
      <c r="R20" s="61" t="b">
        <f t="shared" si="0"/>
        <v>1</v>
      </c>
      <c r="U20" s="59">
        <v>100806</v>
      </c>
      <c r="V20" s="59" t="s">
        <v>580</v>
      </c>
      <c r="W20" s="59">
        <v>1</v>
      </c>
    </row>
    <row r="21" spans="1:23" s="61" customFormat="1" ht="37.5" customHeight="1" x14ac:dyDescent="0.25">
      <c r="A21" s="59" t="str">
        <f t="shared" si="1"/>
        <v>180   ИЗДО   Институт заочного дистанционного обучения</v>
      </c>
      <c r="B21" s="82">
        <v>100806</v>
      </c>
      <c r="C21" s="59" t="s">
        <v>425</v>
      </c>
      <c r="D21" s="83">
        <f t="shared" si="2"/>
        <v>1</v>
      </c>
      <c r="E21" s="125"/>
      <c r="F21" s="69"/>
      <c r="G21" s="69"/>
      <c r="H21" s="69"/>
      <c r="I21" s="69"/>
      <c r="J21" s="69"/>
      <c r="K21" s="69"/>
      <c r="L21" s="69"/>
      <c r="M21" s="69"/>
      <c r="N21" s="69"/>
      <c r="O21" s="63"/>
      <c r="P21" s="63"/>
      <c r="Q21" s="63"/>
      <c r="R21" s="61" t="b">
        <f t="shared" si="0"/>
        <v>1</v>
      </c>
      <c r="U21" s="59">
        <v>100807</v>
      </c>
      <c r="V21" s="59" t="s">
        <v>580</v>
      </c>
      <c r="W21" s="59">
        <v>1</v>
      </c>
    </row>
    <row r="22" spans="1:23" s="61" customFormat="1" ht="37.5" customHeight="1" x14ac:dyDescent="0.25">
      <c r="A22" s="59" t="str">
        <f t="shared" si="1"/>
        <v>180   ИЗДО   Институт заочного дистанционного обучения</v>
      </c>
      <c r="B22" s="82">
        <v>100807</v>
      </c>
      <c r="C22" s="59" t="s">
        <v>426</v>
      </c>
      <c r="D22" s="83">
        <f t="shared" si="2"/>
        <v>1</v>
      </c>
      <c r="E22" s="126"/>
      <c r="F22" s="69"/>
      <c r="G22" s="69"/>
      <c r="H22" s="69"/>
      <c r="I22" s="69"/>
      <c r="J22" s="69"/>
      <c r="K22" s="69"/>
      <c r="L22" s="69"/>
      <c r="M22" s="69"/>
      <c r="N22" s="69"/>
      <c r="O22" s="63"/>
      <c r="P22" s="63"/>
      <c r="Q22" s="63"/>
      <c r="R22" s="61" t="b">
        <f t="shared" si="0"/>
        <v>1</v>
      </c>
      <c r="U22" s="59">
        <v>100808</v>
      </c>
      <c r="V22" s="59" t="s">
        <v>580</v>
      </c>
      <c r="W22" s="59">
        <v>1</v>
      </c>
    </row>
    <row r="23" spans="1:23" s="61" customFormat="1" ht="37.5" customHeight="1" x14ac:dyDescent="0.25">
      <c r="A23" s="59" t="str">
        <f t="shared" si="1"/>
        <v>180   ИЗДО   Институт заочного дистанционного обучения</v>
      </c>
      <c r="B23" s="82">
        <v>100808</v>
      </c>
      <c r="C23" s="59" t="s">
        <v>427</v>
      </c>
      <c r="D23" s="83">
        <f t="shared" si="2"/>
        <v>1</v>
      </c>
      <c r="E23" s="126"/>
      <c r="F23" s="69"/>
      <c r="G23" s="69"/>
      <c r="H23" s="69"/>
      <c r="I23" s="69"/>
      <c r="J23" s="69"/>
      <c r="K23" s="69"/>
      <c r="L23" s="69"/>
      <c r="M23" s="69"/>
      <c r="N23" s="69"/>
      <c r="O23" s="63"/>
      <c r="P23" s="63"/>
      <c r="Q23" s="63"/>
      <c r="R23" s="61" t="b">
        <f t="shared" si="0"/>
        <v>1</v>
      </c>
      <c r="U23" s="59">
        <v>100809</v>
      </c>
      <c r="V23" s="59" t="s">
        <v>580</v>
      </c>
      <c r="W23" s="59">
        <v>1</v>
      </c>
    </row>
    <row r="24" spans="1:23" s="61" customFormat="1" ht="37.5" customHeight="1" x14ac:dyDescent="0.25">
      <c r="A24" s="59" t="str">
        <f t="shared" si="1"/>
        <v>180   ИЗДО   Институт заочного дистанционного обучения</v>
      </c>
      <c r="B24" s="82">
        <v>100809</v>
      </c>
      <c r="C24" s="59" t="s">
        <v>428</v>
      </c>
      <c r="D24" s="83">
        <f t="shared" si="2"/>
        <v>1</v>
      </c>
      <c r="E24" s="126"/>
      <c r="F24" s="69"/>
      <c r="G24" s="69"/>
      <c r="H24" s="69"/>
      <c r="I24" s="69"/>
      <c r="J24" s="69"/>
      <c r="K24" s="69"/>
      <c r="L24" s="69"/>
      <c r="M24" s="69"/>
      <c r="N24" s="69"/>
      <c r="O24" s="63"/>
      <c r="P24" s="63"/>
      <c r="Q24" s="63"/>
      <c r="R24" s="61" t="b">
        <f t="shared" si="0"/>
        <v>1</v>
      </c>
      <c r="U24" s="59">
        <v>100811</v>
      </c>
      <c r="V24" s="59" t="s">
        <v>580</v>
      </c>
      <c r="W24" s="59">
        <v>1</v>
      </c>
    </row>
    <row r="25" spans="1:23" s="61" customFormat="1" ht="37.5" customHeight="1" x14ac:dyDescent="0.25">
      <c r="A25" s="59" t="str">
        <f t="shared" si="1"/>
        <v>180   ИЗДО   Институт заочного дистанционного обучения</v>
      </c>
      <c r="B25" s="82">
        <v>100811</v>
      </c>
      <c r="C25" s="59" t="s">
        <v>429</v>
      </c>
      <c r="D25" s="83">
        <f t="shared" si="2"/>
        <v>1</v>
      </c>
      <c r="E25" s="126"/>
      <c r="F25" s="69"/>
      <c r="G25" s="69"/>
      <c r="H25" s="69"/>
      <c r="I25" s="69"/>
      <c r="J25" s="69"/>
      <c r="K25" s="69"/>
      <c r="L25" s="69"/>
      <c r="M25" s="69"/>
      <c r="N25" s="69"/>
      <c r="O25" s="63"/>
      <c r="P25" s="63"/>
      <c r="Q25" s="63"/>
      <c r="R25" s="61" t="b">
        <f t="shared" si="0"/>
        <v>1</v>
      </c>
      <c r="U25" s="59">
        <v>100812</v>
      </c>
      <c r="V25" s="59" t="s">
        <v>580</v>
      </c>
      <c r="W25" s="59">
        <v>1.75</v>
      </c>
    </row>
    <row r="26" spans="1:23" s="61" customFormat="1" ht="37.5" customHeight="1" x14ac:dyDescent="0.25">
      <c r="A26" s="59" t="str">
        <f t="shared" si="1"/>
        <v>180   ИЗДО   Институт заочного дистанционного обучения</v>
      </c>
      <c r="B26" s="82">
        <v>100812</v>
      </c>
      <c r="C26" s="59" t="s">
        <v>430</v>
      </c>
      <c r="D26" s="83">
        <f t="shared" si="2"/>
        <v>1.75</v>
      </c>
      <c r="E26" s="126"/>
      <c r="F26" s="69"/>
      <c r="G26" s="69"/>
      <c r="H26" s="69"/>
      <c r="I26" s="69"/>
      <c r="J26" s="69"/>
      <c r="K26" s="69"/>
      <c r="L26" s="69"/>
      <c r="M26" s="69"/>
      <c r="N26" s="69"/>
      <c r="O26" s="63"/>
      <c r="P26" s="63"/>
      <c r="Q26" s="63"/>
      <c r="R26" s="61" t="b">
        <f t="shared" si="0"/>
        <v>1</v>
      </c>
      <c r="U26" s="59">
        <v>100813</v>
      </c>
      <c r="V26" s="59" t="s">
        <v>580</v>
      </c>
      <c r="W26" s="59">
        <v>2.75</v>
      </c>
    </row>
    <row r="27" spans="1:23" s="61" customFormat="1" ht="37.5" customHeight="1" x14ac:dyDescent="0.25">
      <c r="A27" s="59" t="str">
        <f t="shared" si="1"/>
        <v>180   ИЗДО   Институт заочного дистанционного обучения</v>
      </c>
      <c r="B27" s="82">
        <v>100813</v>
      </c>
      <c r="C27" s="59" t="s">
        <v>431</v>
      </c>
      <c r="D27" s="83">
        <f t="shared" si="2"/>
        <v>2.75</v>
      </c>
      <c r="E27" s="126"/>
      <c r="F27" s="69"/>
      <c r="G27" s="69"/>
      <c r="H27" s="69"/>
      <c r="I27" s="69"/>
      <c r="J27" s="69"/>
      <c r="K27" s="69"/>
      <c r="L27" s="69"/>
      <c r="M27" s="69"/>
      <c r="N27" s="69"/>
      <c r="O27" s="63"/>
      <c r="P27" s="63"/>
      <c r="Q27" s="63"/>
      <c r="R27" s="61" t="b">
        <f t="shared" si="0"/>
        <v>1</v>
      </c>
      <c r="U27" s="59">
        <v>100814</v>
      </c>
      <c r="V27" s="59" t="s">
        <v>580</v>
      </c>
      <c r="W27" s="59">
        <v>1</v>
      </c>
    </row>
    <row r="28" spans="1:23" s="61" customFormat="1" ht="37.5" customHeight="1" x14ac:dyDescent="0.25">
      <c r="A28" s="59" t="str">
        <f t="shared" si="1"/>
        <v>180   ИЗДО   Институт заочного дистанционного обучения</v>
      </c>
      <c r="B28" s="82">
        <v>100814</v>
      </c>
      <c r="C28" s="59" t="s">
        <v>432</v>
      </c>
      <c r="D28" s="83">
        <f t="shared" si="2"/>
        <v>1</v>
      </c>
      <c r="E28" s="126"/>
      <c r="F28" s="69"/>
      <c r="G28" s="69"/>
      <c r="H28" s="69"/>
      <c r="I28" s="69"/>
      <c r="J28" s="69"/>
      <c r="K28" s="69"/>
      <c r="L28" s="69"/>
      <c r="M28" s="69"/>
      <c r="N28" s="69"/>
      <c r="O28" s="63"/>
      <c r="P28" s="63"/>
      <c r="Q28" s="63"/>
      <c r="R28" s="61" t="b">
        <f t="shared" si="0"/>
        <v>1</v>
      </c>
      <c r="U28" s="59">
        <v>100816</v>
      </c>
      <c r="V28" s="59" t="s">
        <v>580</v>
      </c>
      <c r="W28" s="59">
        <v>0.75</v>
      </c>
    </row>
    <row r="29" spans="1:23" s="61" customFormat="1" ht="37.5" customHeight="1" x14ac:dyDescent="0.25">
      <c r="A29" s="59" t="str">
        <f t="shared" si="1"/>
        <v>180   ИЗДО   Институт заочного дистанционного обучения</v>
      </c>
      <c r="B29" s="82">
        <v>100816</v>
      </c>
      <c r="C29" s="59" t="s">
        <v>433</v>
      </c>
      <c r="D29" s="83">
        <f t="shared" si="2"/>
        <v>0.75</v>
      </c>
      <c r="E29" s="127"/>
      <c r="F29" s="69"/>
      <c r="G29" s="69"/>
      <c r="H29" s="69"/>
      <c r="I29" s="69"/>
      <c r="J29" s="69"/>
      <c r="K29" s="69"/>
      <c r="L29" s="69"/>
      <c r="M29" s="69"/>
      <c r="N29" s="69"/>
      <c r="O29" s="63"/>
      <c r="P29" s="63"/>
      <c r="Q29" s="63"/>
      <c r="R29" s="61" t="b">
        <f t="shared" si="0"/>
        <v>1</v>
      </c>
      <c r="U29" s="59">
        <v>100818</v>
      </c>
      <c r="V29" s="59" t="s">
        <v>580</v>
      </c>
      <c r="W29" s="59">
        <v>3</v>
      </c>
    </row>
    <row r="30" spans="1:23" s="61" customFormat="1" ht="25.5" customHeight="1" x14ac:dyDescent="0.25">
      <c r="A30" s="59" t="str">
        <f t="shared" si="1"/>
        <v>180   ИЗДО   Институт заочного дистанционного обучения</v>
      </c>
      <c r="B30" s="82">
        <v>100818</v>
      </c>
      <c r="C30" s="59" t="s">
        <v>434</v>
      </c>
      <c r="D30" s="83">
        <f t="shared" si="2"/>
        <v>3</v>
      </c>
      <c r="E30" s="75"/>
      <c r="F30" s="69"/>
      <c r="G30" s="69"/>
      <c r="H30" s="69"/>
      <c r="I30" s="69"/>
      <c r="J30" s="69"/>
      <c r="K30" s="69"/>
      <c r="L30" s="69"/>
      <c r="M30" s="69"/>
      <c r="N30" s="69"/>
      <c r="O30" s="63"/>
      <c r="P30" s="63"/>
      <c r="Q30" s="63"/>
      <c r="R30" s="61" t="b">
        <f t="shared" si="0"/>
        <v>1</v>
      </c>
      <c r="U30" s="59">
        <v>1020</v>
      </c>
      <c r="V30" s="59" t="s">
        <v>581</v>
      </c>
      <c r="W30" s="59">
        <v>4.25</v>
      </c>
    </row>
    <row r="31" spans="1:23" s="61" customFormat="1" ht="25.5" customHeight="1" x14ac:dyDescent="0.25">
      <c r="A31" s="59" t="str">
        <f t="shared" si="1"/>
        <v>140   ИП   Институт права</v>
      </c>
      <c r="B31" s="82">
        <v>1020</v>
      </c>
      <c r="C31" s="59" t="s">
        <v>435</v>
      </c>
      <c r="D31" s="83">
        <f t="shared" si="2"/>
        <v>4.25</v>
      </c>
      <c r="E31" s="75"/>
      <c r="F31" s="69"/>
      <c r="G31" s="69"/>
      <c r="H31" s="69"/>
      <c r="I31" s="69"/>
      <c r="J31" s="69"/>
      <c r="K31" s="69"/>
      <c r="L31" s="69"/>
      <c r="M31" s="69"/>
      <c r="N31" s="69"/>
      <c r="O31" s="63"/>
      <c r="P31" s="63"/>
      <c r="Q31" s="63"/>
      <c r="R31" s="61" t="b">
        <f t="shared" si="0"/>
        <v>1</v>
      </c>
      <c r="U31" s="59">
        <v>102001</v>
      </c>
      <c r="V31" s="59" t="s">
        <v>581</v>
      </c>
      <c r="W31" s="59">
        <v>15.85</v>
      </c>
    </row>
    <row r="32" spans="1:23" s="61" customFormat="1" ht="25.5" customHeight="1" x14ac:dyDescent="0.25">
      <c r="A32" s="59" t="str">
        <f t="shared" si="1"/>
        <v>140   ИП   Институт права</v>
      </c>
      <c r="B32" s="82">
        <v>102001</v>
      </c>
      <c r="C32" s="59" t="s">
        <v>436</v>
      </c>
      <c r="D32" s="83">
        <f t="shared" si="2"/>
        <v>15.85</v>
      </c>
      <c r="E32" s="75"/>
      <c r="F32" s="69"/>
      <c r="G32" s="69"/>
      <c r="H32" s="69"/>
      <c r="I32" s="69"/>
      <c r="J32" s="69"/>
      <c r="K32" s="69"/>
      <c r="L32" s="69"/>
      <c r="M32" s="69"/>
      <c r="N32" s="69"/>
      <c r="O32" s="63"/>
      <c r="P32" s="63"/>
      <c r="Q32" s="63"/>
      <c r="R32" s="61" t="b">
        <f t="shared" si="0"/>
        <v>1</v>
      </c>
      <c r="U32" s="59">
        <v>102002</v>
      </c>
      <c r="V32" s="59" t="s">
        <v>581</v>
      </c>
      <c r="W32" s="59">
        <v>5.0999999999999996</v>
      </c>
    </row>
    <row r="33" spans="1:23" s="61" customFormat="1" ht="30" customHeight="1" x14ac:dyDescent="0.25">
      <c r="A33" s="59" t="str">
        <f t="shared" si="1"/>
        <v>140   ИП   Институт права</v>
      </c>
      <c r="B33" s="82">
        <v>102002</v>
      </c>
      <c r="C33" s="59" t="s">
        <v>437</v>
      </c>
      <c r="D33" s="83">
        <f t="shared" si="2"/>
        <v>5.0999999999999996</v>
      </c>
      <c r="E33" s="75"/>
      <c r="F33" s="69"/>
      <c r="G33" s="69"/>
      <c r="H33" s="69"/>
      <c r="I33" s="69"/>
      <c r="J33" s="69"/>
      <c r="K33" s="69"/>
      <c r="L33" s="69"/>
      <c r="M33" s="69"/>
      <c r="N33" s="69"/>
      <c r="O33" s="63"/>
      <c r="P33" s="63"/>
      <c r="Q33" s="63"/>
      <c r="R33" s="61" t="b">
        <f t="shared" si="0"/>
        <v>1</v>
      </c>
      <c r="U33" s="59">
        <v>102003</v>
      </c>
      <c r="V33" s="59" t="s">
        <v>581</v>
      </c>
      <c r="W33" s="59">
        <v>9.85</v>
      </c>
    </row>
    <row r="34" spans="1:23" s="61" customFormat="1" ht="37.5" customHeight="1" x14ac:dyDescent="0.25">
      <c r="A34" s="59" t="str">
        <f t="shared" si="1"/>
        <v>140   ИП   Институт права</v>
      </c>
      <c r="B34" s="82">
        <v>102003</v>
      </c>
      <c r="C34" s="59" t="s">
        <v>438</v>
      </c>
      <c r="D34" s="83">
        <f t="shared" si="2"/>
        <v>9.85</v>
      </c>
      <c r="E34" s="75"/>
      <c r="F34" s="69"/>
      <c r="G34" s="69"/>
      <c r="H34" s="69"/>
      <c r="I34" s="69"/>
      <c r="J34" s="69"/>
      <c r="K34" s="69"/>
      <c r="L34" s="69"/>
      <c r="M34" s="69"/>
      <c r="N34" s="69"/>
      <c r="O34" s="63"/>
      <c r="P34" s="63"/>
      <c r="Q34" s="63"/>
      <c r="R34" s="61" t="b">
        <f t="shared" si="0"/>
        <v>1</v>
      </c>
      <c r="U34" s="59">
        <v>102006</v>
      </c>
      <c r="V34" s="59" t="s">
        <v>582</v>
      </c>
      <c r="W34" s="59">
        <v>15.6</v>
      </c>
    </row>
    <row r="35" spans="1:23" s="61" customFormat="1" ht="37.5" customHeight="1" x14ac:dyDescent="0.25">
      <c r="A35" s="59" t="str">
        <f t="shared" si="1"/>
        <v>142   ФЮП   Кафедра философии и юридической психологии</v>
      </c>
      <c r="B35" s="82">
        <v>102006</v>
      </c>
      <c r="C35" s="59" t="s">
        <v>439</v>
      </c>
      <c r="D35" s="83">
        <f t="shared" si="2"/>
        <v>15.6</v>
      </c>
      <c r="E35" s="75"/>
      <c r="F35" s="69"/>
      <c r="G35" s="69"/>
      <c r="H35" s="69"/>
      <c r="I35" s="69"/>
      <c r="J35" s="69"/>
      <c r="K35" s="69"/>
      <c r="L35" s="69"/>
      <c r="M35" s="69"/>
      <c r="N35" s="69"/>
      <c r="O35" s="63"/>
      <c r="P35" s="63"/>
      <c r="Q35" s="63"/>
      <c r="R35" s="61" t="b">
        <f t="shared" si="0"/>
        <v>1</v>
      </c>
      <c r="U35" s="59">
        <v>10200601</v>
      </c>
      <c r="V35" s="59" t="s">
        <v>582</v>
      </c>
      <c r="W35" s="59">
        <v>0.1</v>
      </c>
    </row>
    <row r="36" spans="1:23" s="61" customFormat="1" ht="31.5" customHeight="1" x14ac:dyDescent="0.25">
      <c r="A36" s="59" t="str">
        <f t="shared" si="1"/>
        <v>142   ФЮП   Кафедра философии и юридической психологии</v>
      </c>
      <c r="B36" s="82">
        <v>10200601</v>
      </c>
      <c r="C36" s="59" t="s">
        <v>440</v>
      </c>
      <c r="D36" s="83">
        <f t="shared" si="2"/>
        <v>0.1</v>
      </c>
      <c r="E36" s="75"/>
      <c r="F36" s="69"/>
      <c r="G36" s="69"/>
      <c r="H36" s="69"/>
      <c r="I36" s="69"/>
      <c r="J36" s="69"/>
      <c r="K36" s="69"/>
      <c r="L36" s="69"/>
      <c r="M36" s="69"/>
      <c r="N36" s="69"/>
      <c r="O36" s="63"/>
      <c r="P36" s="63"/>
      <c r="Q36" s="63"/>
      <c r="R36" s="61" t="b">
        <f t="shared" ref="R36:R67" si="3">B37=U36</f>
        <v>1</v>
      </c>
      <c r="U36" s="59">
        <v>102007</v>
      </c>
      <c r="V36" s="59" t="s">
        <v>581</v>
      </c>
      <c r="W36" s="59">
        <v>7.1</v>
      </c>
    </row>
    <row r="37" spans="1:23" s="61" customFormat="1" ht="31.5" customHeight="1" x14ac:dyDescent="0.25">
      <c r="A37" s="59" t="str">
        <f t="shared" si="1"/>
        <v>140   ИП   Институт права</v>
      </c>
      <c r="B37" s="82">
        <v>102007</v>
      </c>
      <c r="C37" s="59" t="s">
        <v>441</v>
      </c>
      <c r="D37" s="83">
        <f t="shared" si="2"/>
        <v>7.1</v>
      </c>
      <c r="E37" s="75"/>
      <c r="F37" s="69"/>
      <c r="G37" s="69"/>
      <c r="H37" s="69"/>
      <c r="I37" s="69"/>
      <c r="J37" s="69"/>
      <c r="K37" s="69"/>
      <c r="L37" s="69"/>
      <c r="M37" s="69"/>
      <c r="N37" s="69"/>
      <c r="O37" s="63"/>
      <c r="P37" s="63"/>
      <c r="Q37" s="63"/>
      <c r="R37" s="61" t="b">
        <f t="shared" si="3"/>
        <v>1</v>
      </c>
      <c r="U37" s="59">
        <v>102008</v>
      </c>
      <c r="V37" s="59" t="s">
        <v>581</v>
      </c>
      <c r="W37" s="59">
        <v>3.1</v>
      </c>
    </row>
    <row r="38" spans="1:23" s="61" customFormat="1" ht="31.5" customHeight="1" x14ac:dyDescent="0.25">
      <c r="A38" s="59" t="str">
        <f t="shared" si="1"/>
        <v>140   ИП   Институт права</v>
      </c>
      <c r="B38" s="82">
        <v>102008</v>
      </c>
      <c r="C38" s="59" t="s">
        <v>442</v>
      </c>
      <c r="D38" s="83">
        <f t="shared" si="2"/>
        <v>3.1</v>
      </c>
      <c r="E38" s="75"/>
      <c r="F38" s="69"/>
      <c r="G38" s="69"/>
      <c r="H38" s="69"/>
      <c r="I38" s="69"/>
      <c r="J38" s="69"/>
      <c r="K38" s="69"/>
      <c r="L38" s="69"/>
      <c r="M38" s="69"/>
      <c r="N38" s="69"/>
      <c r="O38" s="63"/>
      <c r="P38" s="63"/>
      <c r="Q38" s="63"/>
      <c r="R38" s="61" t="b">
        <f t="shared" si="3"/>
        <v>1</v>
      </c>
      <c r="U38" s="59">
        <v>102090</v>
      </c>
      <c r="V38" s="59" t="s">
        <v>581</v>
      </c>
      <c r="W38" s="59">
        <v>0.25</v>
      </c>
    </row>
    <row r="39" spans="1:23" s="61" customFormat="1" ht="37.5" customHeight="1" x14ac:dyDescent="0.25">
      <c r="A39" s="59" t="str">
        <f t="shared" si="1"/>
        <v>140   ИП   Институт права</v>
      </c>
      <c r="B39" s="82">
        <v>102090</v>
      </c>
      <c r="C39" s="59" t="s">
        <v>92</v>
      </c>
      <c r="D39" s="83">
        <f t="shared" si="2"/>
        <v>0.25</v>
      </c>
      <c r="E39" s="75"/>
      <c r="F39" s="69"/>
      <c r="G39" s="69"/>
      <c r="H39" s="69"/>
      <c r="I39" s="69"/>
      <c r="J39" s="69"/>
      <c r="K39" s="69"/>
      <c r="L39" s="69"/>
      <c r="M39" s="69"/>
      <c r="N39" s="69"/>
      <c r="O39" s="63"/>
      <c r="P39" s="63"/>
      <c r="Q39" s="63"/>
      <c r="R39" s="61" t="b">
        <f t="shared" si="3"/>
        <v>1</v>
      </c>
      <c r="U39" s="59">
        <v>1030</v>
      </c>
      <c r="V39" s="59" t="s">
        <v>583</v>
      </c>
      <c r="W39" s="59">
        <v>4</v>
      </c>
    </row>
    <row r="40" spans="1:23" s="61" customFormat="1" ht="37.5" customHeight="1" x14ac:dyDescent="0.25">
      <c r="A40" s="59" t="str">
        <f t="shared" si="1"/>
        <v>110   ИКИ   Институт креативных индустрий</v>
      </c>
      <c r="B40" s="82">
        <v>1030</v>
      </c>
      <c r="C40" s="59" t="s">
        <v>443</v>
      </c>
      <c r="D40" s="83">
        <f t="shared" si="2"/>
        <v>4</v>
      </c>
      <c r="E40" s="76"/>
      <c r="F40" s="69"/>
      <c r="G40" s="69"/>
      <c r="H40" s="69"/>
      <c r="I40" s="69"/>
      <c r="J40" s="69"/>
      <c r="K40" s="69"/>
      <c r="L40" s="69"/>
      <c r="M40" s="69"/>
      <c r="N40" s="69"/>
      <c r="O40" s="63"/>
      <c r="P40" s="63"/>
      <c r="Q40" s="63"/>
      <c r="R40" s="61" t="b">
        <f t="shared" si="3"/>
        <v>1</v>
      </c>
      <c r="U40" s="59">
        <v>103001</v>
      </c>
      <c r="V40" s="59" t="s">
        <v>583</v>
      </c>
      <c r="W40" s="59">
        <v>21.650000000000002</v>
      </c>
    </row>
    <row r="41" spans="1:23" s="61" customFormat="1" ht="37.5" customHeight="1" x14ac:dyDescent="0.25">
      <c r="A41" s="59" t="str">
        <f t="shared" si="1"/>
        <v>110   ИКИ   Институт креативных индустрий</v>
      </c>
      <c r="B41" s="82">
        <v>103001</v>
      </c>
      <c r="C41" s="59" t="s">
        <v>444</v>
      </c>
      <c r="D41" s="83">
        <f t="shared" si="2"/>
        <v>21.650000000000002</v>
      </c>
      <c r="E41" s="76"/>
      <c r="F41" s="69"/>
      <c r="G41" s="69"/>
      <c r="H41" s="69"/>
      <c r="I41" s="69"/>
      <c r="J41" s="69"/>
      <c r="K41" s="69"/>
      <c r="L41" s="69"/>
      <c r="M41" s="69"/>
      <c r="N41" s="69"/>
      <c r="O41" s="63"/>
      <c r="P41" s="63"/>
      <c r="Q41" s="63"/>
      <c r="R41" s="61" t="b">
        <f t="shared" si="3"/>
        <v>1</v>
      </c>
      <c r="U41" s="59">
        <v>103002</v>
      </c>
      <c r="V41" s="59" t="s">
        <v>583</v>
      </c>
      <c r="W41" s="59">
        <v>40.75</v>
      </c>
    </row>
    <row r="42" spans="1:23" s="61" customFormat="1" ht="37.5" customHeight="1" x14ac:dyDescent="0.25">
      <c r="A42" s="59" t="str">
        <f t="shared" si="1"/>
        <v>110   ИКИ   Институт креативных индустрий</v>
      </c>
      <c r="B42" s="82">
        <v>103002</v>
      </c>
      <c r="C42" s="59" t="s">
        <v>445</v>
      </c>
      <c r="D42" s="83">
        <f t="shared" si="2"/>
        <v>40.75</v>
      </c>
      <c r="E42" s="76"/>
      <c r="F42" s="69"/>
      <c r="G42" s="69"/>
      <c r="H42" s="69"/>
      <c r="I42" s="69"/>
      <c r="J42" s="69"/>
      <c r="K42" s="69"/>
      <c r="L42" s="69"/>
      <c r="M42" s="69"/>
      <c r="N42" s="69"/>
      <c r="O42" s="63"/>
      <c r="P42" s="63"/>
      <c r="Q42" s="63"/>
      <c r="R42" s="61" t="b">
        <f t="shared" si="3"/>
        <v>1</v>
      </c>
      <c r="U42" s="59">
        <v>1030021</v>
      </c>
      <c r="V42" s="59" t="s">
        <v>583</v>
      </c>
      <c r="W42" s="59">
        <v>0.1</v>
      </c>
    </row>
    <row r="43" spans="1:23" s="61" customFormat="1" ht="37.5" customHeight="1" x14ac:dyDescent="0.25">
      <c r="A43" s="59" t="str">
        <f t="shared" si="1"/>
        <v>110   ИКИ   Институт креативных индустрий</v>
      </c>
      <c r="B43" s="82">
        <v>1030021</v>
      </c>
      <c r="C43" s="59" t="s">
        <v>446</v>
      </c>
      <c r="D43" s="83">
        <f t="shared" si="2"/>
        <v>0.1</v>
      </c>
      <c r="E43" s="125"/>
      <c r="F43" s="69"/>
      <c r="G43" s="69"/>
      <c r="H43" s="69"/>
      <c r="I43" s="69"/>
      <c r="J43" s="69"/>
      <c r="K43" s="69"/>
      <c r="L43" s="69"/>
      <c r="M43" s="69"/>
      <c r="N43" s="69"/>
      <c r="O43" s="63"/>
      <c r="P43" s="63"/>
      <c r="Q43" s="63"/>
      <c r="R43" s="61" t="b">
        <f t="shared" si="3"/>
        <v>1</v>
      </c>
      <c r="U43" s="59">
        <v>1030022</v>
      </c>
      <c r="V43" s="59" t="s">
        <v>583</v>
      </c>
      <c r="W43" s="59">
        <v>0.25</v>
      </c>
    </row>
    <row r="44" spans="1:23" s="61" customFormat="1" ht="37.5" customHeight="1" x14ac:dyDescent="0.25">
      <c r="A44" s="59" t="str">
        <f t="shared" si="1"/>
        <v>110   ИКИ   Институт креативных индустрий</v>
      </c>
      <c r="B44" s="82">
        <v>1030022</v>
      </c>
      <c r="C44" s="59" t="s">
        <v>102</v>
      </c>
      <c r="D44" s="83">
        <f t="shared" si="2"/>
        <v>0.25</v>
      </c>
      <c r="E44" s="126"/>
      <c r="F44" s="69"/>
      <c r="G44" s="69"/>
      <c r="H44" s="69"/>
      <c r="I44" s="69"/>
      <c r="J44" s="69"/>
      <c r="K44" s="69"/>
      <c r="L44" s="69"/>
      <c r="M44" s="69"/>
      <c r="N44" s="69"/>
      <c r="O44" s="63"/>
      <c r="P44" s="63"/>
      <c r="Q44" s="63"/>
      <c r="R44" s="61" t="b">
        <f t="shared" si="3"/>
        <v>1</v>
      </c>
      <c r="U44" s="59">
        <v>1030023</v>
      </c>
      <c r="V44" s="59" t="s">
        <v>583</v>
      </c>
      <c r="W44" s="59">
        <v>0.25</v>
      </c>
    </row>
    <row r="45" spans="1:23" s="61" customFormat="1" ht="37.5" customHeight="1" x14ac:dyDescent="0.25">
      <c r="A45" s="59" t="str">
        <f t="shared" si="1"/>
        <v>110   ИКИ   Институт креативных индустрий</v>
      </c>
      <c r="B45" s="82">
        <v>1030023</v>
      </c>
      <c r="C45" s="59" t="s">
        <v>104</v>
      </c>
      <c r="D45" s="83">
        <f t="shared" si="2"/>
        <v>0.25</v>
      </c>
      <c r="E45" s="126"/>
      <c r="F45" s="69"/>
      <c r="G45" s="69"/>
      <c r="H45" s="69"/>
      <c r="I45" s="69"/>
      <c r="J45" s="69"/>
      <c r="K45" s="69"/>
      <c r="L45" s="69"/>
      <c r="M45" s="69"/>
      <c r="N45" s="69"/>
      <c r="O45" s="63"/>
      <c r="P45" s="63"/>
      <c r="Q45" s="63"/>
      <c r="R45" s="61" t="b">
        <f t="shared" si="3"/>
        <v>1</v>
      </c>
      <c r="U45" s="59">
        <v>1030024</v>
      </c>
      <c r="V45" s="59" t="s">
        <v>583</v>
      </c>
      <c r="W45" s="59">
        <v>0.25</v>
      </c>
    </row>
    <row r="46" spans="1:23" s="61" customFormat="1" ht="37.5" customHeight="1" x14ac:dyDescent="0.25">
      <c r="A46" s="59" t="str">
        <f t="shared" si="1"/>
        <v>110   ИКИ   Институт креативных индустрий</v>
      </c>
      <c r="B46" s="82">
        <v>1030024</v>
      </c>
      <c r="C46" s="59" t="s">
        <v>106</v>
      </c>
      <c r="D46" s="83">
        <f t="shared" si="2"/>
        <v>0.25</v>
      </c>
      <c r="E46" s="127"/>
      <c r="F46" s="69"/>
      <c r="G46" s="69"/>
      <c r="H46" s="69"/>
      <c r="I46" s="69"/>
      <c r="J46" s="69"/>
      <c r="K46" s="69"/>
      <c r="L46" s="69"/>
      <c r="M46" s="69"/>
      <c r="N46" s="69"/>
      <c r="O46" s="63"/>
      <c r="P46" s="63"/>
      <c r="Q46" s="63"/>
      <c r="R46" s="61" t="b">
        <f t="shared" si="3"/>
        <v>1</v>
      </c>
      <c r="U46" s="59">
        <v>103005</v>
      </c>
      <c r="V46" s="59" t="s">
        <v>583</v>
      </c>
      <c r="W46" s="59">
        <v>8</v>
      </c>
    </row>
    <row r="47" spans="1:23" s="61" customFormat="1" ht="37.5" customHeight="1" x14ac:dyDescent="0.25">
      <c r="A47" s="59" t="str">
        <f t="shared" si="1"/>
        <v>110   ИКИ   Институт креативных индустрий</v>
      </c>
      <c r="B47" s="82">
        <v>103005</v>
      </c>
      <c r="C47" s="59" t="s">
        <v>447</v>
      </c>
      <c r="D47" s="83">
        <f t="shared" si="2"/>
        <v>8</v>
      </c>
      <c r="E47" s="76"/>
      <c r="F47" s="69"/>
      <c r="G47" s="69"/>
      <c r="H47" s="69"/>
      <c r="I47" s="69"/>
      <c r="J47" s="69"/>
      <c r="K47" s="69"/>
      <c r="L47" s="69"/>
      <c r="M47" s="69"/>
      <c r="N47" s="69"/>
      <c r="O47" s="63"/>
      <c r="P47" s="63"/>
      <c r="Q47" s="63"/>
      <c r="R47" s="61" t="b">
        <f t="shared" si="3"/>
        <v>1</v>
      </c>
      <c r="U47" s="59">
        <v>1032</v>
      </c>
      <c r="V47" s="59" t="s">
        <v>584</v>
      </c>
      <c r="W47" s="59">
        <v>1.5</v>
      </c>
    </row>
    <row r="48" spans="1:23" s="61" customFormat="1" ht="37.5" customHeight="1" x14ac:dyDescent="0.25">
      <c r="A48" s="59" t="str">
        <f t="shared" si="1"/>
        <v>150   ИНДТЛ   Институт нефтегазового дела, транспорта и логистики</v>
      </c>
      <c r="B48" s="82">
        <v>1032</v>
      </c>
      <c r="C48" s="59" t="s">
        <v>448</v>
      </c>
      <c r="D48" s="83">
        <f t="shared" si="2"/>
        <v>1.5</v>
      </c>
      <c r="E48" s="76"/>
      <c r="F48" s="69"/>
      <c r="G48" s="69"/>
      <c r="H48" s="69"/>
      <c r="I48" s="69"/>
      <c r="J48" s="69"/>
      <c r="K48" s="69"/>
      <c r="L48" s="69"/>
      <c r="M48" s="69"/>
      <c r="N48" s="69"/>
      <c r="O48" s="63"/>
      <c r="P48" s="63"/>
      <c r="Q48" s="63"/>
      <c r="R48" s="61" t="b">
        <f t="shared" si="3"/>
        <v>1</v>
      </c>
      <c r="U48" s="59">
        <v>103201</v>
      </c>
      <c r="V48" s="59" t="s">
        <v>584</v>
      </c>
      <c r="W48" s="59">
        <v>9.25</v>
      </c>
    </row>
    <row r="49" spans="1:23" s="61" customFormat="1" ht="37.5" customHeight="1" x14ac:dyDescent="0.25">
      <c r="A49" s="59" t="str">
        <f t="shared" si="1"/>
        <v>150   ИНДТЛ   Институт нефтегазового дела, транспорта и логистики</v>
      </c>
      <c r="B49" s="82">
        <v>103201</v>
      </c>
      <c r="C49" s="59" t="s">
        <v>449</v>
      </c>
      <c r="D49" s="83">
        <f t="shared" si="2"/>
        <v>9.25</v>
      </c>
      <c r="E49" s="76"/>
      <c r="F49" s="69"/>
      <c r="G49" s="69"/>
      <c r="H49" s="69"/>
      <c r="I49" s="69"/>
      <c r="J49" s="69"/>
      <c r="K49" s="69"/>
      <c r="L49" s="69"/>
      <c r="M49" s="69"/>
      <c r="N49" s="69"/>
      <c r="O49" s="63"/>
      <c r="P49" s="63"/>
      <c r="Q49" s="63"/>
      <c r="R49" s="61" t="b">
        <f t="shared" si="3"/>
        <v>1</v>
      </c>
      <c r="U49" s="59">
        <v>103203</v>
      </c>
      <c r="V49" s="59" t="s">
        <v>584</v>
      </c>
      <c r="W49" s="59">
        <v>9.5</v>
      </c>
    </row>
    <row r="50" spans="1:23" s="61" customFormat="1" ht="37.5" customHeight="1" x14ac:dyDescent="0.25">
      <c r="A50" s="59" t="str">
        <f t="shared" si="1"/>
        <v>150   ИНДТЛ   Институт нефтегазового дела, транспорта и логистики</v>
      </c>
      <c r="B50" s="82">
        <v>103203</v>
      </c>
      <c r="C50" s="59" t="s">
        <v>450</v>
      </c>
      <c r="D50" s="83">
        <f t="shared" si="2"/>
        <v>9.5</v>
      </c>
      <c r="E50" s="76"/>
      <c r="F50" s="69"/>
      <c r="G50" s="69"/>
      <c r="H50" s="69"/>
      <c r="I50" s="69"/>
      <c r="J50" s="69"/>
      <c r="K50" s="69"/>
      <c r="L50" s="69"/>
      <c r="M50" s="69"/>
      <c r="N50" s="69"/>
      <c r="O50" s="63"/>
      <c r="P50" s="63"/>
      <c r="Q50" s="63"/>
      <c r="R50" s="61" t="b">
        <f t="shared" si="3"/>
        <v>1</v>
      </c>
      <c r="U50" s="59">
        <v>103204</v>
      </c>
      <c r="V50" s="59" t="s">
        <v>584</v>
      </c>
      <c r="W50" s="59">
        <v>3.25</v>
      </c>
    </row>
    <row r="51" spans="1:23" s="61" customFormat="1" ht="37.5" customHeight="1" x14ac:dyDescent="0.25">
      <c r="A51" s="59" t="str">
        <f t="shared" si="1"/>
        <v>150   ИНДТЛ   Институт нефтегазового дела, транспорта и логистики</v>
      </c>
      <c r="B51" s="82">
        <v>103204</v>
      </c>
      <c r="C51" s="59" t="s">
        <v>451</v>
      </c>
      <c r="D51" s="83">
        <f t="shared" si="2"/>
        <v>3.25</v>
      </c>
      <c r="E51" s="76"/>
      <c r="F51" s="69"/>
      <c r="G51" s="69"/>
      <c r="H51" s="69"/>
      <c r="I51" s="69"/>
      <c r="J51" s="69"/>
      <c r="K51" s="69"/>
      <c r="L51" s="69"/>
      <c r="M51" s="69"/>
      <c r="N51" s="69"/>
      <c r="O51" s="63"/>
      <c r="P51" s="63"/>
      <c r="Q51" s="63"/>
      <c r="R51" s="61" t="b">
        <f t="shared" si="3"/>
        <v>1</v>
      </c>
      <c r="U51" s="59">
        <v>103205</v>
      </c>
      <c r="V51" s="59" t="s">
        <v>584</v>
      </c>
      <c r="W51" s="59">
        <v>0.1</v>
      </c>
    </row>
    <row r="52" spans="1:23" s="61" customFormat="1" ht="37.5" customHeight="1" x14ac:dyDescent="0.25">
      <c r="A52" s="59" t="str">
        <f t="shared" si="1"/>
        <v>150   ИНДТЛ   Институт нефтегазового дела, транспорта и логистики</v>
      </c>
      <c r="B52" s="82">
        <v>103205</v>
      </c>
      <c r="C52" s="59" t="s">
        <v>452</v>
      </c>
      <c r="D52" s="83">
        <f t="shared" si="2"/>
        <v>0.1</v>
      </c>
      <c r="E52" s="76"/>
      <c r="F52" s="69"/>
      <c r="G52" s="69"/>
      <c r="H52" s="69"/>
      <c r="I52" s="69"/>
      <c r="J52" s="69"/>
      <c r="K52" s="69"/>
      <c r="L52" s="69"/>
      <c r="M52" s="69"/>
      <c r="N52" s="69"/>
      <c r="O52" s="63"/>
      <c r="P52" s="63"/>
      <c r="Q52" s="63"/>
      <c r="R52" s="61" t="b">
        <f t="shared" si="3"/>
        <v>1</v>
      </c>
      <c r="U52" s="59">
        <v>1047</v>
      </c>
      <c r="V52" s="59" t="s">
        <v>585</v>
      </c>
      <c r="W52" s="59">
        <v>1</v>
      </c>
    </row>
    <row r="53" spans="1:23" s="61" customFormat="1" ht="37.5" customHeight="1" x14ac:dyDescent="0.25">
      <c r="A53" s="59" t="str">
        <f t="shared" si="1"/>
        <v>164  ИМКД   Институт маркетинга и коммерческой деятельности</v>
      </c>
      <c r="B53" s="82">
        <v>1047</v>
      </c>
      <c r="C53" s="59" t="s">
        <v>453</v>
      </c>
      <c r="D53" s="83">
        <f t="shared" si="2"/>
        <v>1</v>
      </c>
      <c r="E53" s="76"/>
      <c r="F53" s="69"/>
      <c r="G53" s="69"/>
      <c r="H53" s="69"/>
      <c r="I53" s="69"/>
      <c r="J53" s="69"/>
      <c r="K53" s="69"/>
      <c r="L53" s="69"/>
      <c r="M53" s="69"/>
      <c r="N53" s="69"/>
      <c r="O53" s="63"/>
      <c r="P53" s="63"/>
      <c r="Q53" s="63"/>
      <c r="R53" s="61" t="b">
        <f t="shared" si="3"/>
        <v>1</v>
      </c>
      <c r="U53" s="59">
        <v>104701</v>
      </c>
      <c r="V53" s="59" t="s">
        <v>585</v>
      </c>
      <c r="W53" s="59">
        <v>13.5</v>
      </c>
    </row>
    <row r="54" spans="1:23" s="61" customFormat="1" ht="37.5" customHeight="1" x14ac:dyDescent="0.25">
      <c r="A54" s="59" t="str">
        <f t="shared" si="1"/>
        <v>164  ИМКД   Институт маркетинга и коммерческой деятельности</v>
      </c>
      <c r="B54" s="82">
        <v>104701</v>
      </c>
      <c r="C54" s="59" t="s">
        <v>454</v>
      </c>
      <c r="D54" s="83">
        <f t="shared" si="2"/>
        <v>13.5</v>
      </c>
      <c r="E54" s="76"/>
      <c r="F54" s="69"/>
      <c r="G54" s="69"/>
      <c r="H54" s="69"/>
      <c r="I54" s="69"/>
      <c r="J54" s="69"/>
      <c r="K54" s="69"/>
      <c r="L54" s="69"/>
      <c r="M54" s="69"/>
      <c r="N54" s="69"/>
      <c r="O54" s="63"/>
      <c r="P54" s="63"/>
      <c r="Q54" s="63"/>
      <c r="R54" s="61" t="b">
        <f t="shared" si="3"/>
        <v>1</v>
      </c>
      <c r="U54" s="59">
        <v>1050</v>
      </c>
      <c r="V54" s="59" t="s">
        <v>586</v>
      </c>
      <c r="W54" s="59">
        <v>1</v>
      </c>
    </row>
    <row r="55" spans="1:23" s="61" customFormat="1" ht="37.5" customHeight="1" x14ac:dyDescent="0.25">
      <c r="A55" s="59" t="str">
        <f t="shared" si="1"/>
        <v>161   ИЦЭБА   Институт цифровой экономики и бизнес аналитики</v>
      </c>
      <c r="B55" s="82">
        <v>1050</v>
      </c>
      <c r="C55" s="59" t="s">
        <v>455</v>
      </c>
      <c r="D55" s="83">
        <f t="shared" si="2"/>
        <v>1</v>
      </c>
      <c r="E55" s="76"/>
      <c r="F55" s="69"/>
      <c r="G55" s="69"/>
      <c r="H55" s="69"/>
      <c r="I55" s="69"/>
      <c r="J55" s="69"/>
      <c r="K55" s="69"/>
      <c r="L55" s="69"/>
      <c r="M55" s="69"/>
      <c r="N55" s="69"/>
      <c r="O55" s="59"/>
      <c r="P55" s="59"/>
      <c r="Q55" s="59"/>
      <c r="R55" s="61" t="b">
        <f t="shared" si="3"/>
        <v>1</v>
      </c>
      <c r="U55" s="59">
        <v>10501</v>
      </c>
      <c r="V55" s="59" t="s">
        <v>586</v>
      </c>
      <c r="W55" s="59">
        <v>14.35</v>
      </c>
    </row>
    <row r="56" spans="1:23" s="61" customFormat="1" ht="37.5" customHeight="1" x14ac:dyDescent="0.25">
      <c r="A56" s="59" t="str">
        <f t="shared" si="1"/>
        <v>161   ИЦЭБА   Институт цифровой экономики и бизнес аналитики</v>
      </c>
      <c r="B56" s="82">
        <v>10501</v>
      </c>
      <c r="C56" s="59" t="s">
        <v>456</v>
      </c>
      <c r="D56" s="83">
        <f t="shared" si="2"/>
        <v>14.35</v>
      </c>
      <c r="E56" s="76"/>
      <c r="F56" s="69"/>
      <c r="G56" s="69"/>
      <c r="H56" s="69"/>
      <c r="I56" s="69"/>
      <c r="J56" s="69"/>
      <c r="K56" s="69"/>
      <c r="L56" s="69"/>
      <c r="M56" s="69"/>
      <c r="N56" s="69"/>
      <c r="O56" s="63"/>
      <c r="P56" s="63"/>
      <c r="Q56" s="63"/>
      <c r="R56" s="61" t="b">
        <f t="shared" si="3"/>
        <v>1</v>
      </c>
      <c r="U56" s="59">
        <v>10502</v>
      </c>
      <c r="V56" s="59" t="s">
        <v>586</v>
      </c>
      <c r="W56" s="59">
        <v>0.7</v>
      </c>
    </row>
    <row r="57" spans="1:23" s="61" customFormat="1" ht="37.5" customHeight="1" x14ac:dyDescent="0.25">
      <c r="A57" s="59" t="str">
        <f t="shared" si="1"/>
        <v>161   ИЦЭБА   Институт цифровой экономики и бизнес аналитики</v>
      </c>
      <c r="B57" s="82">
        <v>10502</v>
      </c>
      <c r="C57" s="59" t="s">
        <v>457</v>
      </c>
      <c r="D57" s="83">
        <f t="shared" si="2"/>
        <v>0.7</v>
      </c>
      <c r="E57" s="76"/>
      <c r="F57" s="69"/>
      <c r="G57" s="69"/>
      <c r="H57" s="69"/>
      <c r="I57" s="69"/>
      <c r="J57" s="69"/>
      <c r="K57" s="69"/>
      <c r="L57" s="69"/>
      <c r="M57" s="69"/>
      <c r="N57" s="69"/>
      <c r="O57" s="59"/>
      <c r="P57" s="59"/>
      <c r="Q57" s="59"/>
      <c r="R57" s="61" t="b">
        <f t="shared" si="3"/>
        <v>1</v>
      </c>
      <c r="U57" s="59">
        <v>1058</v>
      </c>
      <c r="V57" s="59" t="s">
        <v>587</v>
      </c>
      <c r="W57" s="59">
        <v>1</v>
      </c>
    </row>
    <row r="58" spans="1:23" s="61" customFormat="1" ht="37.5" customHeight="1" x14ac:dyDescent="0.25">
      <c r="A58" s="59" t="str">
        <f t="shared" si="1"/>
        <v>810   ИФКС   Институт физической культуры и спорта</v>
      </c>
      <c r="B58" s="82">
        <v>1058</v>
      </c>
      <c r="C58" s="59" t="s">
        <v>458</v>
      </c>
      <c r="D58" s="83">
        <f t="shared" si="2"/>
        <v>1</v>
      </c>
      <c r="E58" s="76"/>
      <c r="F58" s="69"/>
      <c r="G58" s="69"/>
      <c r="H58" s="69"/>
      <c r="I58" s="69"/>
      <c r="J58" s="69"/>
      <c r="K58" s="69"/>
      <c r="L58" s="69"/>
      <c r="M58" s="69"/>
      <c r="N58" s="69"/>
      <c r="O58" s="63"/>
      <c r="P58" s="63"/>
      <c r="Q58" s="63"/>
      <c r="R58" s="61" t="b">
        <f t="shared" si="3"/>
        <v>1</v>
      </c>
      <c r="U58" s="59">
        <v>10581</v>
      </c>
      <c r="V58" s="59" t="s">
        <v>587</v>
      </c>
      <c r="W58" s="59">
        <v>20</v>
      </c>
    </row>
    <row r="59" spans="1:23" s="61" customFormat="1" ht="37.5" customHeight="1" x14ac:dyDescent="0.25">
      <c r="A59" s="59" t="str">
        <f t="shared" si="1"/>
        <v>810   ИФКС   Институт физической культуры и спорта</v>
      </c>
      <c r="B59" s="82">
        <v>10581</v>
      </c>
      <c r="C59" s="59" t="s">
        <v>459</v>
      </c>
      <c r="D59" s="83">
        <f t="shared" si="2"/>
        <v>20</v>
      </c>
      <c r="E59" s="76"/>
      <c r="F59" s="69"/>
      <c r="G59" s="69"/>
      <c r="H59" s="69"/>
      <c r="I59" s="69"/>
      <c r="J59" s="69"/>
      <c r="K59" s="69"/>
      <c r="L59" s="69"/>
      <c r="M59" s="69"/>
      <c r="N59" s="69"/>
      <c r="O59" s="63"/>
      <c r="P59" s="63"/>
      <c r="Q59" s="63"/>
      <c r="R59" s="61" t="b">
        <f t="shared" si="3"/>
        <v>1</v>
      </c>
      <c r="U59" s="59">
        <v>10582</v>
      </c>
      <c r="V59" s="59" t="s">
        <v>587</v>
      </c>
      <c r="W59" s="59">
        <v>0</v>
      </c>
    </row>
    <row r="60" spans="1:23" s="61" customFormat="1" ht="37.5" customHeight="1" x14ac:dyDescent="0.25">
      <c r="A60" s="59" t="str">
        <f t="shared" si="1"/>
        <v>810   ИФКС   Институт физической культуры и спорта</v>
      </c>
      <c r="B60" s="82">
        <v>10582</v>
      </c>
      <c r="C60" s="59" t="s">
        <v>460</v>
      </c>
      <c r="D60" s="83">
        <f t="shared" si="2"/>
        <v>0</v>
      </c>
      <c r="E60" s="76"/>
      <c r="F60" s="69"/>
      <c r="G60" s="69"/>
      <c r="H60" s="69"/>
      <c r="I60" s="69"/>
      <c r="J60" s="69"/>
      <c r="K60" s="69"/>
      <c r="L60" s="69"/>
      <c r="M60" s="69"/>
      <c r="N60" s="69"/>
      <c r="O60" s="63"/>
      <c r="P60" s="63"/>
      <c r="Q60" s="63"/>
      <c r="R60" s="61" t="b">
        <f t="shared" si="3"/>
        <v>1</v>
      </c>
      <c r="U60" s="59">
        <v>1058201</v>
      </c>
      <c r="V60" s="59" t="s">
        <v>587</v>
      </c>
      <c r="W60" s="59">
        <v>30</v>
      </c>
    </row>
    <row r="61" spans="1:23" s="61" customFormat="1" ht="37.5" customHeight="1" x14ac:dyDescent="0.25">
      <c r="A61" s="59" t="str">
        <f t="shared" si="1"/>
        <v>810   ИФКС   Институт физической культуры и спорта</v>
      </c>
      <c r="B61" s="82">
        <v>1058201</v>
      </c>
      <c r="C61" s="59" t="s">
        <v>461</v>
      </c>
      <c r="D61" s="83">
        <f t="shared" si="2"/>
        <v>30</v>
      </c>
      <c r="E61" s="76"/>
      <c r="F61" s="69"/>
      <c r="G61" s="69"/>
      <c r="H61" s="69"/>
      <c r="I61" s="69"/>
      <c r="J61" s="69"/>
      <c r="K61" s="69"/>
      <c r="L61" s="69"/>
      <c r="M61" s="69"/>
      <c r="N61" s="69"/>
      <c r="O61" s="63"/>
      <c r="P61" s="63"/>
      <c r="Q61" s="63"/>
      <c r="R61" s="61" t="b">
        <f t="shared" si="3"/>
        <v>1</v>
      </c>
      <c r="U61" s="59">
        <v>1058202</v>
      </c>
      <c r="V61" s="59" t="s">
        <v>587</v>
      </c>
      <c r="W61" s="59">
        <v>30.5</v>
      </c>
    </row>
    <row r="62" spans="1:23" s="61" customFormat="1" ht="37.5" customHeight="1" x14ac:dyDescent="0.25">
      <c r="A62" s="59" t="str">
        <f t="shared" si="1"/>
        <v>810   ИФКС   Институт физической культуры и спорта</v>
      </c>
      <c r="B62" s="82">
        <v>1058202</v>
      </c>
      <c r="C62" s="59" t="s">
        <v>462</v>
      </c>
      <c r="D62" s="83">
        <f t="shared" si="2"/>
        <v>30.5</v>
      </c>
      <c r="E62" s="76"/>
      <c r="F62" s="69"/>
      <c r="G62" s="69"/>
      <c r="H62" s="69"/>
      <c r="I62" s="69"/>
      <c r="J62" s="69"/>
      <c r="K62" s="69"/>
      <c r="L62" s="69"/>
      <c r="M62" s="69"/>
      <c r="N62" s="69"/>
      <c r="O62" s="63"/>
      <c r="P62" s="63"/>
      <c r="Q62" s="63"/>
      <c r="R62" s="61" t="b">
        <f t="shared" si="3"/>
        <v>1</v>
      </c>
      <c r="U62" s="59">
        <v>1058203</v>
      </c>
      <c r="V62" s="59" t="s">
        <v>587</v>
      </c>
      <c r="W62" s="59">
        <v>22.5</v>
      </c>
    </row>
    <row r="63" spans="1:23" s="61" customFormat="1" ht="37.5" customHeight="1" x14ac:dyDescent="0.25">
      <c r="A63" s="59" t="str">
        <f t="shared" si="1"/>
        <v>810   ИФКС   Институт физической культуры и спорта</v>
      </c>
      <c r="B63" s="82">
        <v>1058203</v>
      </c>
      <c r="C63" s="59" t="s">
        <v>463</v>
      </c>
      <c r="D63" s="83">
        <f t="shared" si="2"/>
        <v>22.5</v>
      </c>
      <c r="E63" s="76"/>
      <c r="F63" s="69"/>
      <c r="G63" s="69"/>
      <c r="H63" s="69"/>
      <c r="I63" s="69"/>
      <c r="J63" s="69"/>
      <c r="K63" s="69"/>
      <c r="L63" s="69"/>
      <c r="M63" s="69"/>
      <c r="N63" s="69"/>
      <c r="O63" s="63"/>
      <c r="P63" s="63"/>
      <c r="Q63" s="63"/>
      <c r="R63" s="61" t="b">
        <f t="shared" si="3"/>
        <v>1</v>
      </c>
      <c r="U63" s="59">
        <v>1058204</v>
      </c>
      <c r="V63" s="59" t="s">
        <v>587</v>
      </c>
      <c r="W63" s="59">
        <v>5</v>
      </c>
    </row>
    <row r="64" spans="1:23" s="61" customFormat="1" ht="37.5" customHeight="1" x14ac:dyDescent="0.25">
      <c r="A64" s="59" t="str">
        <f t="shared" si="1"/>
        <v>810   ИФКС   Институт физической культуры и спорта</v>
      </c>
      <c r="B64" s="82">
        <v>1058204</v>
      </c>
      <c r="C64" s="59" t="s">
        <v>464</v>
      </c>
      <c r="D64" s="83">
        <f t="shared" si="2"/>
        <v>5</v>
      </c>
      <c r="E64" s="76"/>
      <c r="F64" s="69"/>
      <c r="G64" s="69"/>
      <c r="H64" s="69"/>
      <c r="I64" s="69"/>
      <c r="J64" s="69"/>
      <c r="K64" s="69"/>
      <c r="L64" s="69"/>
      <c r="M64" s="69"/>
      <c r="N64" s="69"/>
      <c r="O64" s="63"/>
      <c r="P64" s="63"/>
      <c r="Q64" s="63"/>
      <c r="R64" s="61" t="b">
        <f t="shared" si="3"/>
        <v>1</v>
      </c>
      <c r="U64" s="59">
        <v>1058205</v>
      </c>
      <c r="V64" s="59" t="s">
        <v>587</v>
      </c>
      <c r="W64" s="59">
        <v>5</v>
      </c>
    </row>
    <row r="65" spans="1:23" s="61" customFormat="1" ht="37.5" customHeight="1" x14ac:dyDescent="0.25">
      <c r="A65" s="59" t="str">
        <f t="shared" si="1"/>
        <v>810   ИФКС   Институт физической культуры и спорта</v>
      </c>
      <c r="B65" s="82">
        <v>1058205</v>
      </c>
      <c r="C65" s="59" t="s">
        <v>465</v>
      </c>
      <c r="D65" s="83">
        <f t="shared" si="2"/>
        <v>5</v>
      </c>
      <c r="E65" s="76"/>
      <c r="F65" s="69"/>
      <c r="G65" s="69"/>
      <c r="H65" s="69"/>
      <c r="I65" s="69"/>
      <c r="J65" s="69"/>
      <c r="K65" s="69"/>
      <c r="L65" s="69"/>
      <c r="M65" s="69"/>
      <c r="N65" s="69"/>
      <c r="O65" s="63"/>
      <c r="P65" s="63"/>
      <c r="Q65" s="63"/>
      <c r="R65" s="61" t="b">
        <f t="shared" si="3"/>
        <v>1</v>
      </c>
      <c r="U65" s="59">
        <v>1059</v>
      </c>
      <c r="V65" s="59" t="s">
        <v>588</v>
      </c>
      <c r="W65" s="59">
        <v>2</v>
      </c>
    </row>
    <row r="66" spans="1:23" s="61" customFormat="1" ht="37.5" customHeight="1" x14ac:dyDescent="0.25">
      <c r="A66" s="59" t="str">
        <f t="shared" si="1"/>
        <v>170   ИИТ   Институт информационных технологий</v>
      </c>
      <c r="B66" s="82">
        <v>1059</v>
      </c>
      <c r="C66" s="59" t="s">
        <v>466</v>
      </c>
      <c r="D66" s="83">
        <f t="shared" si="2"/>
        <v>2</v>
      </c>
      <c r="E66" s="125"/>
      <c r="F66" s="69"/>
      <c r="G66" s="69"/>
      <c r="H66" s="69"/>
      <c r="I66" s="69"/>
      <c r="J66" s="69"/>
      <c r="K66" s="69"/>
      <c r="L66" s="69"/>
      <c r="M66" s="69"/>
      <c r="N66" s="69"/>
      <c r="O66" s="59"/>
      <c r="P66" s="59"/>
      <c r="Q66" s="59"/>
      <c r="R66" s="61" t="b">
        <f t="shared" si="3"/>
        <v>1</v>
      </c>
      <c r="U66" s="59">
        <v>105901</v>
      </c>
      <c r="V66" s="59" t="s">
        <v>588</v>
      </c>
      <c r="W66" s="59">
        <v>31.9</v>
      </c>
    </row>
    <row r="67" spans="1:23" s="61" customFormat="1" ht="37.5" customHeight="1" x14ac:dyDescent="0.25">
      <c r="A67" s="59" t="str">
        <f t="shared" si="1"/>
        <v>170   ИИТ   Институт информационных технологий</v>
      </c>
      <c r="B67" s="82">
        <v>105901</v>
      </c>
      <c r="C67" s="59" t="s">
        <v>467</v>
      </c>
      <c r="D67" s="83">
        <f t="shared" si="2"/>
        <v>31.9</v>
      </c>
      <c r="E67" s="134"/>
      <c r="F67" s="69"/>
      <c r="G67" s="69"/>
      <c r="H67" s="69"/>
      <c r="I67" s="69"/>
      <c r="J67" s="69"/>
      <c r="K67" s="69"/>
      <c r="L67" s="69"/>
      <c r="M67" s="69"/>
      <c r="N67" s="69"/>
      <c r="O67" s="63"/>
      <c r="P67" s="63"/>
      <c r="Q67" s="63"/>
      <c r="R67" s="61" t="b">
        <f t="shared" si="3"/>
        <v>1</v>
      </c>
      <c r="U67" s="59">
        <v>105902</v>
      </c>
      <c r="V67" s="59" t="s">
        <v>588</v>
      </c>
      <c r="W67" s="59">
        <v>0.75</v>
      </c>
    </row>
    <row r="68" spans="1:23" s="61" customFormat="1" ht="37.5" customHeight="1" x14ac:dyDescent="0.25">
      <c r="A68" s="59" t="str">
        <f t="shared" si="1"/>
        <v>170   ИИТ   Институт информационных технологий</v>
      </c>
      <c r="B68" s="82">
        <v>105902</v>
      </c>
      <c r="C68" s="59" t="s">
        <v>332</v>
      </c>
      <c r="D68" s="83">
        <f t="shared" si="2"/>
        <v>0.75</v>
      </c>
      <c r="E68" s="127"/>
      <c r="F68" s="69"/>
      <c r="G68" s="69"/>
      <c r="H68" s="69"/>
      <c r="I68" s="69"/>
      <c r="J68" s="69"/>
      <c r="K68" s="69"/>
      <c r="L68" s="69"/>
      <c r="M68" s="69"/>
      <c r="N68" s="69"/>
      <c r="O68" s="59"/>
      <c r="P68" s="59"/>
      <c r="Q68" s="59"/>
      <c r="R68" s="61" t="b">
        <f t="shared" ref="R68:R99" si="4">B69=U68</f>
        <v>1</v>
      </c>
      <c r="U68" s="59">
        <v>105909</v>
      </c>
      <c r="V68" s="59" t="s">
        <v>588</v>
      </c>
      <c r="W68" s="59">
        <v>1</v>
      </c>
    </row>
    <row r="69" spans="1:23" s="61" customFormat="1" ht="37.5" customHeight="1" x14ac:dyDescent="0.25">
      <c r="A69" s="59" t="str">
        <f t="shared" ref="A69:A132" si="5">VLOOKUP(B69,$U$4:$V$223,2,FALSE)</f>
        <v>170   ИИТ   Институт информационных технологий</v>
      </c>
      <c r="B69" s="82">
        <v>105909</v>
      </c>
      <c r="C69" s="59" t="s">
        <v>468</v>
      </c>
      <c r="D69" s="83">
        <f t="shared" ref="D69:D132" si="6">VLOOKUP(B69,$U$4:$W$223,3,FALSE)</f>
        <v>1</v>
      </c>
      <c r="E69" s="76"/>
      <c r="F69" s="69"/>
      <c r="G69" s="69"/>
      <c r="H69" s="69"/>
      <c r="I69" s="69"/>
      <c r="J69" s="69"/>
      <c r="K69" s="69"/>
      <c r="L69" s="69"/>
      <c r="M69" s="69"/>
      <c r="N69" s="69"/>
      <c r="O69" s="63"/>
      <c r="P69" s="63"/>
      <c r="Q69" s="63"/>
      <c r="R69" s="61" t="b">
        <f t="shared" si="4"/>
        <v>1</v>
      </c>
      <c r="U69" s="59">
        <v>1060</v>
      </c>
      <c r="V69" s="59" t="s">
        <v>589</v>
      </c>
      <c r="W69" s="59">
        <v>1</v>
      </c>
    </row>
    <row r="70" spans="1:23" s="61" customFormat="1" ht="37.5" customHeight="1" x14ac:dyDescent="0.25">
      <c r="A70" s="59" t="str">
        <f t="shared" si="5"/>
        <v>169   ИМБЭУ   Институт международного бизнеса, экономики и управления</v>
      </c>
      <c r="B70" s="82">
        <v>1060</v>
      </c>
      <c r="C70" s="59" t="s">
        <v>469</v>
      </c>
      <c r="D70" s="83">
        <f t="shared" si="6"/>
        <v>1</v>
      </c>
      <c r="E70" s="76"/>
      <c r="F70" s="69"/>
      <c r="G70" s="69"/>
      <c r="H70" s="69"/>
      <c r="I70" s="69"/>
      <c r="J70" s="69"/>
      <c r="K70" s="69"/>
      <c r="L70" s="69"/>
      <c r="M70" s="69"/>
      <c r="N70" s="69"/>
      <c r="O70" s="63"/>
      <c r="P70" s="63"/>
      <c r="Q70" s="63"/>
      <c r="R70" s="61" t="b">
        <f t="shared" si="4"/>
        <v>1</v>
      </c>
      <c r="U70" s="59">
        <v>10601</v>
      </c>
      <c r="V70" s="59" t="s">
        <v>589</v>
      </c>
      <c r="W70" s="59">
        <v>65.05</v>
      </c>
    </row>
    <row r="71" spans="1:23" s="61" customFormat="1" ht="37.5" customHeight="1" x14ac:dyDescent="0.25">
      <c r="A71" s="59" t="str">
        <f t="shared" si="5"/>
        <v>169   ИМБЭУ   Институт международного бизнеса, экономики и управления</v>
      </c>
      <c r="B71" s="82">
        <v>10601</v>
      </c>
      <c r="C71" s="59" t="s">
        <v>470</v>
      </c>
      <c r="D71" s="83">
        <f t="shared" si="6"/>
        <v>65.05</v>
      </c>
      <c r="E71" s="76"/>
      <c r="F71" s="69"/>
      <c r="G71" s="69"/>
      <c r="H71" s="69"/>
      <c r="I71" s="69"/>
      <c r="J71" s="69"/>
      <c r="K71" s="69"/>
      <c r="L71" s="69"/>
      <c r="M71" s="69"/>
      <c r="N71" s="69"/>
      <c r="O71" s="63"/>
      <c r="P71" s="63"/>
      <c r="Q71" s="63"/>
      <c r="R71" s="61" t="b">
        <f t="shared" si="4"/>
        <v>1</v>
      </c>
      <c r="U71" s="59">
        <v>10602</v>
      </c>
      <c r="V71" s="59" t="s">
        <v>589</v>
      </c>
      <c r="W71" s="59">
        <v>0.5</v>
      </c>
    </row>
    <row r="72" spans="1:23" s="61" customFormat="1" ht="37.5" customHeight="1" x14ac:dyDescent="0.25">
      <c r="A72" s="59" t="str">
        <f t="shared" si="5"/>
        <v>169   ИМБЭУ   Институт международного бизнеса, экономики и управления</v>
      </c>
      <c r="B72" s="82">
        <v>10602</v>
      </c>
      <c r="C72" s="59" t="s">
        <v>471</v>
      </c>
      <c r="D72" s="83">
        <f t="shared" si="6"/>
        <v>0.5</v>
      </c>
      <c r="E72" s="76"/>
      <c r="F72" s="69"/>
      <c r="G72" s="69"/>
      <c r="H72" s="69"/>
      <c r="I72" s="69"/>
      <c r="J72" s="69"/>
      <c r="K72" s="69"/>
      <c r="L72" s="69"/>
      <c r="M72" s="69"/>
      <c r="N72" s="69"/>
      <c r="O72" s="63"/>
      <c r="P72" s="63"/>
      <c r="Q72" s="63"/>
      <c r="R72" s="61" t="b">
        <f t="shared" si="4"/>
        <v>1</v>
      </c>
      <c r="U72" s="59">
        <v>1068</v>
      </c>
      <c r="V72" s="59" t="s">
        <v>590</v>
      </c>
      <c r="W72" s="59">
        <v>17.25</v>
      </c>
    </row>
    <row r="73" spans="1:23" s="61" customFormat="1" ht="37.5" customHeight="1" x14ac:dyDescent="0.25">
      <c r="A73" s="59" t="str">
        <f t="shared" si="5"/>
        <v>165   ВШКТВ   Высшая школа кино и телевидения</v>
      </c>
      <c r="B73" s="82">
        <v>1068</v>
      </c>
      <c r="C73" s="59" t="s">
        <v>472</v>
      </c>
      <c r="D73" s="83">
        <f t="shared" si="6"/>
        <v>17.25</v>
      </c>
      <c r="E73" s="76"/>
      <c r="F73" s="69"/>
      <c r="G73" s="69"/>
      <c r="H73" s="69"/>
      <c r="I73" s="69"/>
      <c r="J73" s="69"/>
      <c r="K73" s="69"/>
      <c r="L73" s="69"/>
      <c r="M73" s="69"/>
      <c r="N73" s="69"/>
      <c r="O73" s="63"/>
      <c r="P73" s="63"/>
      <c r="Q73" s="63"/>
      <c r="R73" s="61" t="b">
        <f t="shared" si="4"/>
        <v>1</v>
      </c>
      <c r="U73" s="59">
        <v>10681</v>
      </c>
      <c r="V73" s="59" t="s">
        <v>590</v>
      </c>
      <c r="W73" s="59">
        <v>2</v>
      </c>
    </row>
    <row r="74" spans="1:23" s="61" customFormat="1" ht="37.5" customHeight="1" x14ac:dyDescent="0.25">
      <c r="A74" s="59" t="str">
        <f t="shared" si="5"/>
        <v>165   ВШКТВ   Высшая школа кино и телевидения</v>
      </c>
      <c r="B74" s="82">
        <v>10681</v>
      </c>
      <c r="C74" s="59" t="s">
        <v>141</v>
      </c>
      <c r="D74" s="83">
        <f t="shared" si="6"/>
        <v>2</v>
      </c>
      <c r="E74" s="76"/>
      <c r="F74" s="69"/>
      <c r="G74" s="69"/>
      <c r="H74" s="69"/>
      <c r="I74" s="69"/>
      <c r="J74" s="69"/>
      <c r="K74" s="69"/>
      <c r="L74" s="69"/>
      <c r="M74" s="69"/>
      <c r="N74" s="69"/>
      <c r="O74" s="63"/>
      <c r="P74" s="63"/>
      <c r="Q74" s="63"/>
      <c r="R74" s="61" t="b">
        <f t="shared" si="4"/>
        <v>1</v>
      </c>
      <c r="U74" s="59">
        <v>1069</v>
      </c>
      <c r="V74" s="59" t="s">
        <v>591</v>
      </c>
      <c r="W74" s="59">
        <v>6</v>
      </c>
    </row>
    <row r="75" spans="1:23" s="61" customFormat="1" ht="37.5" customHeight="1" x14ac:dyDescent="0.25">
      <c r="A75" s="59" t="str">
        <f t="shared" si="5"/>
        <v>882   ИПО   Институт постдипломного образования</v>
      </c>
      <c r="B75" s="82">
        <v>1069</v>
      </c>
      <c r="C75" s="59" t="s">
        <v>473</v>
      </c>
      <c r="D75" s="83">
        <f t="shared" si="6"/>
        <v>6</v>
      </c>
      <c r="E75" s="76"/>
      <c r="F75" s="69"/>
      <c r="G75" s="69"/>
      <c r="H75" s="69"/>
      <c r="I75" s="69"/>
      <c r="J75" s="69"/>
      <c r="K75" s="69"/>
      <c r="L75" s="69"/>
      <c r="M75" s="69"/>
      <c r="N75" s="69"/>
      <c r="O75" s="63"/>
      <c r="P75" s="63"/>
      <c r="Q75" s="63"/>
      <c r="R75" s="61" t="b">
        <f t="shared" si="4"/>
        <v>1</v>
      </c>
      <c r="U75" s="59">
        <v>1070</v>
      </c>
      <c r="V75" s="59" t="s">
        <v>592</v>
      </c>
      <c r="W75" s="59">
        <v>18.05</v>
      </c>
    </row>
    <row r="76" spans="1:23" s="61" customFormat="1" ht="50.25" customHeight="1" x14ac:dyDescent="0.25">
      <c r="A76" s="59" t="str">
        <f t="shared" si="5"/>
        <v>250   IT колледж (IThub Владивосток)</v>
      </c>
      <c r="B76" s="82">
        <v>1070</v>
      </c>
      <c r="C76" s="59" t="s">
        <v>474</v>
      </c>
      <c r="D76" s="83">
        <f t="shared" si="6"/>
        <v>18.05</v>
      </c>
      <c r="E76" s="76"/>
      <c r="F76" s="69"/>
      <c r="G76" s="69"/>
      <c r="H76" s="69"/>
      <c r="I76" s="69"/>
      <c r="J76" s="69"/>
      <c r="K76" s="69"/>
      <c r="L76" s="69"/>
      <c r="M76" s="69"/>
      <c r="N76" s="69"/>
      <c r="O76" s="63"/>
      <c r="P76" s="63"/>
      <c r="Q76" s="63"/>
      <c r="R76" s="61" t="b">
        <f t="shared" si="4"/>
        <v>1</v>
      </c>
      <c r="U76" s="59">
        <v>1078</v>
      </c>
      <c r="V76" s="59" t="s">
        <v>593</v>
      </c>
      <c r="W76" s="59">
        <v>0.5</v>
      </c>
    </row>
    <row r="77" spans="1:23" s="61" customFormat="1" ht="50.25" customHeight="1" x14ac:dyDescent="0.25">
      <c r="A77" s="59" t="str">
        <f t="shared" si="5"/>
        <v>135   МИПАИГ   Международный институт подготовки и адаптации иностранных граждан</v>
      </c>
      <c r="B77" s="82">
        <v>1078</v>
      </c>
      <c r="C77" s="59" t="s">
        <v>475</v>
      </c>
      <c r="D77" s="83">
        <f t="shared" si="6"/>
        <v>0.5</v>
      </c>
      <c r="E77" s="76"/>
      <c r="F77" s="69"/>
      <c r="G77" s="69"/>
      <c r="H77" s="69"/>
      <c r="I77" s="69"/>
      <c r="J77" s="69"/>
      <c r="K77" s="69"/>
      <c r="L77" s="69"/>
      <c r="M77" s="69"/>
      <c r="N77" s="69"/>
      <c r="O77" s="63"/>
      <c r="P77" s="63"/>
      <c r="Q77" s="63"/>
      <c r="R77" s="61" t="b">
        <f t="shared" si="4"/>
        <v>1</v>
      </c>
      <c r="U77" s="59">
        <v>107801</v>
      </c>
      <c r="V77" s="59" t="s">
        <v>593</v>
      </c>
      <c r="W77" s="59">
        <v>5</v>
      </c>
    </row>
    <row r="78" spans="1:23" s="61" customFormat="1" ht="50.25" customHeight="1" x14ac:dyDescent="0.25">
      <c r="A78" s="59" t="str">
        <f t="shared" si="5"/>
        <v>135   МИПАИГ   Международный институт подготовки и адаптации иностранных граждан</v>
      </c>
      <c r="B78" s="82">
        <v>107801</v>
      </c>
      <c r="C78" s="59" t="s">
        <v>476</v>
      </c>
      <c r="D78" s="83">
        <f t="shared" si="6"/>
        <v>5</v>
      </c>
      <c r="E78" s="76"/>
      <c r="F78" s="69"/>
      <c r="G78" s="69"/>
      <c r="H78" s="69"/>
      <c r="I78" s="69"/>
      <c r="J78" s="69"/>
      <c r="K78" s="69"/>
      <c r="L78" s="69"/>
      <c r="M78" s="69"/>
      <c r="N78" s="69"/>
      <c r="O78" s="63"/>
      <c r="P78" s="63"/>
      <c r="Q78" s="63"/>
      <c r="R78" s="61" t="b">
        <f t="shared" si="4"/>
        <v>1</v>
      </c>
      <c r="U78" s="59">
        <v>107802</v>
      </c>
      <c r="V78" s="59" t="s">
        <v>593</v>
      </c>
      <c r="W78" s="59">
        <v>13.5</v>
      </c>
    </row>
    <row r="79" spans="1:23" s="61" customFormat="1" ht="27.75" customHeight="1" x14ac:dyDescent="0.25">
      <c r="A79" s="59" t="str">
        <f t="shared" si="5"/>
        <v>135   МИПАИГ   Международный институт подготовки и адаптации иностранных граждан</v>
      </c>
      <c r="B79" s="82">
        <v>107802</v>
      </c>
      <c r="C79" s="59" t="s">
        <v>477</v>
      </c>
      <c r="D79" s="83">
        <f t="shared" si="6"/>
        <v>13.5</v>
      </c>
      <c r="E79" s="76"/>
      <c r="F79" s="69"/>
      <c r="G79" s="69"/>
      <c r="H79" s="69"/>
      <c r="I79" s="69"/>
      <c r="J79" s="69"/>
      <c r="K79" s="69"/>
      <c r="L79" s="69"/>
      <c r="M79" s="69"/>
      <c r="N79" s="69"/>
      <c r="O79" s="63"/>
      <c r="P79" s="63"/>
      <c r="Q79" s="63"/>
      <c r="R79" s="61" t="b">
        <f t="shared" si="4"/>
        <v>1</v>
      </c>
      <c r="U79" s="59">
        <v>1080</v>
      </c>
      <c r="V79" s="59" t="s">
        <v>594</v>
      </c>
      <c r="W79" s="59">
        <v>122.68</v>
      </c>
    </row>
    <row r="80" spans="1:23" s="61" customFormat="1" ht="27.75" customHeight="1" x14ac:dyDescent="0.25">
      <c r="A80" s="59" t="str">
        <f t="shared" si="5"/>
        <v>292   КСД   Колледж сервиса и дизайна</v>
      </c>
      <c r="B80" s="82">
        <v>1080</v>
      </c>
      <c r="C80" s="59" t="s">
        <v>478</v>
      </c>
      <c r="D80" s="83">
        <f t="shared" si="6"/>
        <v>122.68</v>
      </c>
      <c r="E80" s="76"/>
      <c r="F80" s="69"/>
      <c r="G80" s="69"/>
      <c r="H80" s="69"/>
      <c r="I80" s="69"/>
      <c r="J80" s="69"/>
      <c r="K80" s="69"/>
      <c r="L80" s="69"/>
      <c r="M80" s="69"/>
      <c r="N80" s="69"/>
      <c r="O80" s="63"/>
      <c r="P80" s="63"/>
      <c r="Q80" s="63"/>
      <c r="R80" s="61" t="b">
        <f t="shared" si="4"/>
        <v>1</v>
      </c>
      <c r="U80" s="59">
        <v>108014</v>
      </c>
      <c r="V80" s="59" t="s">
        <v>594</v>
      </c>
      <c r="W80" s="59">
        <v>8.25</v>
      </c>
    </row>
    <row r="81" spans="1:23" s="61" customFormat="1" ht="27.75" customHeight="1" x14ac:dyDescent="0.25">
      <c r="A81" s="59" t="str">
        <f t="shared" si="5"/>
        <v>292   КСД   Колледж сервиса и дизайна</v>
      </c>
      <c r="B81" s="82">
        <v>108014</v>
      </c>
      <c r="C81" s="59" t="s">
        <v>153</v>
      </c>
      <c r="D81" s="83">
        <f t="shared" si="6"/>
        <v>8.25</v>
      </c>
      <c r="E81" s="76"/>
      <c r="F81" s="69"/>
      <c r="G81" s="69"/>
      <c r="H81" s="69"/>
      <c r="I81" s="69"/>
      <c r="J81" s="69"/>
      <c r="K81" s="69"/>
      <c r="L81" s="69"/>
      <c r="M81" s="69"/>
      <c r="N81" s="69"/>
      <c r="O81" s="63"/>
      <c r="P81" s="63"/>
      <c r="Q81" s="63"/>
      <c r="R81" s="61" t="b">
        <f t="shared" si="4"/>
        <v>1</v>
      </c>
      <c r="U81" s="59">
        <v>108015</v>
      </c>
      <c r="V81" s="59" t="s">
        <v>594</v>
      </c>
      <c r="W81" s="59">
        <v>0.25</v>
      </c>
    </row>
    <row r="82" spans="1:23" s="61" customFormat="1" ht="27.75" customHeight="1" x14ac:dyDescent="0.25">
      <c r="A82" s="59" t="str">
        <f t="shared" si="5"/>
        <v>292   КСД   Колледж сервиса и дизайна</v>
      </c>
      <c r="B82" s="82">
        <v>108015</v>
      </c>
      <c r="C82" s="59" t="s">
        <v>155</v>
      </c>
      <c r="D82" s="83">
        <f t="shared" si="6"/>
        <v>0.25</v>
      </c>
      <c r="E82" s="76"/>
      <c r="F82" s="69"/>
      <c r="G82" s="69"/>
      <c r="H82" s="69"/>
      <c r="I82" s="69"/>
      <c r="J82" s="69"/>
      <c r="K82" s="69"/>
      <c r="L82" s="69"/>
      <c r="M82" s="69"/>
      <c r="N82" s="69"/>
      <c r="O82" s="63"/>
      <c r="P82" s="63"/>
      <c r="Q82" s="63"/>
      <c r="R82" s="61" t="b">
        <f t="shared" si="4"/>
        <v>1</v>
      </c>
      <c r="U82" s="59">
        <v>108016</v>
      </c>
      <c r="V82" s="59" t="s">
        <v>594</v>
      </c>
      <c r="W82" s="59">
        <v>0.25</v>
      </c>
    </row>
    <row r="83" spans="1:23" s="61" customFormat="1" ht="27.75" customHeight="1" x14ac:dyDescent="0.25">
      <c r="A83" s="59" t="str">
        <f t="shared" si="5"/>
        <v>292   КСД   Колледж сервиса и дизайна</v>
      </c>
      <c r="B83" s="82">
        <v>108016</v>
      </c>
      <c r="C83" s="59" t="s">
        <v>157</v>
      </c>
      <c r="D83" s="83">
        <f t="shared" si="6"/>
        <v>0.25</v>
      </c>
      <c r="E83" s="76"/>
      <c r="F83" s="69"/>
      <c r="G83" s="69"/>
      <c r="H83" s="69"/>
      <c r="I83" s="69"/>
      <c r="J83" s="69"/>
      <c r="K83" s="69"/>
      <c r="L83" s="69"/>
      <c r="M83" s="69"/>
      <c r="N83" s="69"/>
      <c r="O83" s="63"/>
      <c r="P83" s="63"/>
      <c r="Q83" s="63"/>
      <c r="R83" s="61" t="b">
        <f t="shared" si="4"/>
        <v>1</v>
      </c>
      <c r="U83" s="59">
        <v>108017</v>
      </c>
      <c r="V83" s="59" t="s">
        <v>594</v>
      </c>
      <c r="W83" s="59">
        <v>0.25</v>
      </c>
    </row>
    <row r="84" spans="1:23" s="61" customFormat="1" ht="27.75" customHeight="1" x14ac:dyDescent="0.25">
      <c r="A84" s="59" t="str">
        <f t="shared" si="5"/>
        <v>292   КСД   Колледж сервиса и дизайна</v>
      </c>
      <c r="B84" s="82">
        <v>108017</v>
      </c>
      <c r="C84" s="59" t="s">
        <v>159</v>
      </c>
      <c r="D84" s="83">
        <f t="shared" si="6"/>
        <v>0.25</v>
      </c>
      <c r="E84" s="76"/>
      <c r="F84" s="69"/>
      <c r="G84" s="69"/>
      <c r="H84" s="69"/>
      <c r="I84" s="69"/>
      <c r="J84" s="69"/>
      <c r="K84" s="69"/>
      <c r="L84" s="69"/>
      <c r="M84" s="69"/>
      <c r="N84" s="69"/>
      <c r="O84" s="63"/>
      <c r="P84" s="63"/>
      <c r="Q84" s="63"/>
      <c r="R84" s="61" t="b">
        <f t="shared" si="4"/>
        <v>1</v>
      </c>
      <c r="U84" s="59">
        <v>108018</v>
      </c>
      <c r="V84" s="59" t="s">
        <v>594</v>
      </c>
      <c r="W84" s="59">
        <v>3</v>
      </c>
    </row>
    <row r="85" spans="1:23" s="61" customFormat="1" ht="27.75" customHeight="1" x14ac:dyDescent="0.25">
      <c r="A85" s="59" t="str">
        <f t="shared" si="5"/>
        <v>292   КСД   Колледж сервиса и дизайна</v>
      </c>
      <c r="B85" s="82">
        <v>108018</v>
      </c>
      <c r="C85" s="59" t="s">
        <v>479</v>
      </c>
      <c r="D85" s="83">
        <f t="shared" si="6"/>
        <v>3</v>
      </c>
      <c r="E85" s="76"/>
      <c r="F85" s="69"/>
      <c r="G85" s="69"/>
      <c r="H85" s="69"/>
      <c r="I85" s="69"/>
      <c r="J85" s="69"/>
      <c r="K85" s="69"/>
      <c r="L85" s="69"/>
      <c r="M85" s="69"/>
      <c r="N85" s="69"/>
      <c r="O85" s="63"/>
      <c r="P85" s="63"/>
      <c r="Q85" s="63"/>
      <c r="R85" s="61" t="b">
        <f t="shared" si="4"/>
        <v>1</v>
      </c>
      <c r="U85" s="59">
        <v>108019</v>
      </c>
      <c r="V85" s="59" t="s">
        <v>594</v>
      </c>
      <c r="W85" s="59">
        <v>1</v>
      </c>
    </row>
    <row r="86" spans="1:23" s="61" customFormat="1" ht="27.75" customHeight="1" x14ac:dyDescent="0.25">
      <c r="A86" s="59" t="str">
        <f t="shared" si="5"/>
        <v>292   КСД   Колледж сервиса и дизайна</v>
      </c>
      <c r="B86" s="82">
        <v>108019</v>
      </c>
      <c r="C86" s="59" t="s">
        <v>163</v>
      </c>
      <c r="D86" s="83">
        <f t="shared" si="6"/>
        <v>1</v>
      </c>
      <c r="E86" s="76"/>
      <c r="F86" s="69"/>
      <c r="G86" s="69"/>
      <c r="H86" s="69"/>
      <c r="I86" s="69"/>
      <c r="J86" s="69"/>
      <c r="K86" s="69"/>
      <c r="L86" s="69"/>
      <c r="M86" s="69"/>
      <c r="N86" s="69"/>
      <c r="O86" s="63"/>
      <c r="P86" s="63"/>
      <c r="Q86" s="63"/>
      <c r="R86" s="61" t="b">
        <f t="shared" si="4"/>
        <v>1</v>
      </c>
      <c r="U86" s="59">
        <v>1090</v>
      </c>
      <c r="V86" s="59" t="s">
        <v>595</v>
      </c>
      <c r="W86" s="59">
        <v>87.39</v>
      </c>
    </row>
    <row r="87" spans="1:23" s="61" customFormat="1" ht="27.75" customHeight="1" x14ac:dyDescent="0.25">
      <c r="A87" s="59" t="str">
        <f t="shared" si="5"/>
        <v>220   АК   Академический колледж</v>
      </c>
      <c r="B87" s="82">
        <v>1090</v>
      </c>
      <c r="C87" s="59" t="s">
        <v>165</v>
      </c>
      <c r="D87" s="83">
        <f t="shared" si="6"/>
        <v>87.39</v>
      </c>
      <c r="E87" s="76"/>
      <c r="F87" s="69"/>
      <c r="G87" s="69"/>
      <c r="H87" s="69"/>
      <c r="I87" s="69"/>
      <c r="J87" s="69"/>
      <c r="K87" s="69"/>
      <c r="L87" s="69"/>
      <c r="M87" s="69"/>
      <c r="N87" s="69"/>
      <c r="O87" s="63"/>
      <c r="P87" s="63"/>
      <c r="Q87" s="63"/>
      <c r="R87" s="61" t="b">
        <f t="shared" si="4"/>
        <v>1</v>
      </c>
      <c r="U87" s="59">
        <v>10902</v>
      </c>
      <c r="V87" s="59" t="s">
        <v>595</v>
      </c>
      <c r="W87" s="59">
        <v>0.75</v>
      </c>
    </row>
    <row r="88" spans="1:23" s="61" customFormat="1" ht="27.75" customHeight="1" x14ac:dyDescent="0.25">
      <c r="A88" s="59" t="str">
        <f t="shared" si="5"/>
        <v>220   АК   Академический колледж</v>
      </c>
      <c r="B88" s="82">
        <v>10902</v>
      </c>
      <c r="C88" s="59" t="s">
        <v>167</v>
      </c>
      <c r="D88" s="83">
        <f t="shared" si="6"/>
        <v>0.75</v>
      </c>
      <c r="E88" s="76"/>
      <c r="F88" s="69"/>
      <c r="G88" s="69"/>
      <c r="H88" s="69"/>
      <c r="I88" s="69"/>
      <c r="J88" s="69"/>
      <c r="K88" s="69"/>
      <c r="L88" s="69"/>
      <c r="M88" s="69"/>
      <c r="N88" s="69"/>
      <c r="O88" s="63"/>
      <c r="P88" s="63"/>
      <c r="Q88" s="63"/>
      <c r="R88" s="61" t="b">
        <f t="shared" si="4"/>
        <v>1</v>
      </c>
      <c r="U88" s="59">
        <v>10903</v>
      </c>
      <c r="V88" s="59" t="s">
        <v>595</v>
      </c>
      <c r="W88" s="59">
        <v>0.75</v>
      </c>
    </row>
    <row r="89" spans="1:23" s="61" customFormat="1" ht="27.75" customHeight="1" x14ac:dyDescent="0.25">
      <c r="A89" s="59" t="str">
        <f t="shared" si="5"/>
        <v>220   АК   Академический колледж</v>
      </c>
      <c r="B89" s="82">
        <v>10903</v>
      </c>
      <c r="C89" s="59" t="s">
        <v>169</v>
      </c>
      <c r="D89" s="83">
        <f t="shared" si="6"/>
        <v>0.75</v>
      </c>
      <c r="E89" s="76"/>
      <c r="F89" s="69"/>
      <c r="G89" s="69"/>
      <c r="H89" s="69"/>
      <c r="I89" s="69"/>
      <c r="J89" s="69"/>
      <c r="K89" s="69"/>
      <c r="L89" s="69"/>
      <c r="M89" s="69"/>
      <c r="N89" s="69"/>
      <c r="O89" s="63"/>
      <c r="P89" s="63"/>
      <c r="Q89" s="63"/>
      <c r="R89" s="61" t="b">
        <f t="shared" si="4"/>
        <v>1</v>
      </c>
      <c r="U89" s="59">
        <v>10904</v>
      </c>
      <c r="V89" s="59" t="s">
        <v>595</v>
      </c>
      <c r="W89" s="59">
        <v>0.25</v>
      </c>
    </row>
    <row r="90" spans="1:23" s="61" customFormat="1" ht="27.75" customHeight="1" x14ac:dyDescent="0.25">
      <c r="A90" s="59" t="str">
        <f t="shared" si="5"/>
        <v>220   АК   Академический колледж</v>
      </c>
      <c r="B90" s="82">
        <v>10904</v>
      </c>
      <c r="C90" s="59" t="s">
        <v>171</v>
      </c>
      <c r="D90" s="83">
        <f t="shared" si="6"/>
        <v>0.25</v>
      </c>
      <c r="E90" s="77"/>
      <c r="F90" s="69"/>
      <c r="G90" s="69"/>
      <c r="H90" s="69"/>
      <c r="I90" s="69"/>
      <c r="J90" s="69"/>
      <c r="K90" s="69"/>
      <c r="L90" s="69"/>
      <c r="M90" s="69"/>
      <c r="N90" s="69"/>
      <c r="O90" s="63"/>
      <c r="P90" s="63"/>
      <c r="Q90" s="63"/>
      <c r="R90" s="61" t="b">
        <f t="shared" si="4"/>
        <v>1</v>
      </c>
      <c r="U90" s="59">
        <v>10905</v>
      </c>
      <c r="V90" s="59" t="s">
        <v>595</v>
      </c>
      <c r="W90" s="59">
        <v>0.25</v>
      </c>
    </row>
    <row r="91" spans="1:23" s="61" customFormat="1" ht="37.5" customHeight="1" x14ac:dyDescent="0.25">
      <c r="A91" s="59" t="str">
        <f t="shared" si="5"/>
        <v>220   АК   Академический колледж</v>
      </c>
      <c r="B91" s="82">
        <v>10905</v>
      </c>
      <c r="C91" s="59" t="s">
        <v>173</v>
      </c>
      <c r="D91" s="83">
        <f t="shared" si="6"/>
        <v>0.25</v>
      </c>
      <c r="E91" s="77"/>
      <c r="F91" s="69"/>
      <c r="G91" s="69"/>
      <c r="H91" s="69"/>
      <c r="I91" s="69"/>
      <c r="J91" s="69"/>
      <c r="K91" s="69"/>
      <c r="L91" s="69"/>
      <c r="M91" s="69"/>
      <c r="N91" s="69"/>
      <c r="O91" s="63"/>
      <c r="P91" s="63"/>
      <c r="Q91" s="63"/>
      <c r="R91" s="61" t="b">
        <f t="shared" si="4"/>
        <v>1</v>
      </c>
      <c r="U91" s="59">
        <v>111</v>
      </c>
      <c r="V91" s="59" t="s">
        <v>596</v>
      </c>
      <c r="W91" s="59">
        <v>1</v>
      </c>
    </row>
    <row r="92" spans="1:23" s="61" customFormat="1" ht="26.25" customHeight="1" x14ac:dyDescent="0.25">
      <c r="A92" s="59" t="str">
        <f t="shared" si="5"/>
        <v>007   Проректор по комплексной безопасности</v>
      </c>
      <c r="B92" s="82">
        <v>111</v>
      </c>
      <c r="C92" s="59" t="s">
        <v>175</v>
      </c>
      <c r="D92" s="83">
        <f t="shared" si="6"/>
        <v>1</v>
      </c>
      <c r="E92" s="77"/>
      <c r="F92" s="69"/>
      <c r="G92" s="69"/>
      <c r="H92" s="69"/>
      <c r="I92" s="69"/>
      <c r="J92" s="69"/>
      <c r="K92" s="69"/>
      <c r="L92" s="69"/>
      <c r="M92" s="69"/>
      <c r="N92" s="69"/>
      <c r="O92" s="63"/>
      <c r="P92" s="63"/>
      <c r="Q92" s="63"/>
      <c r="R92" s="61" t="b">
        <f t="shared" si="4"/>
        <v>1</v>
      </c>
      <c r="U92" s="59">
        <v>11105</v>
      </c>
      <c r="V92" s="59" t="s">
        <v>597</v>
      </c>
      <c r="W92" s="59">
        <v>2</v>
      </c>
    </row>
    <row r="93" spans="1:23" s="61" customFormat="1" ht="37.5" customHeight="1" x14ac:dyDescent="0.25">
      <c r="A93" s="59" t="str">
        <f t="shared" si="5"/>
        <v>721 Медицинский центр</v>
      </c>
      <c r="B93" s="82">
        <v>11105</v>
      </c>
      <c r="C93" s="59" t="s">
        <v>480</v>
      </c>
      <c r="D93" s="83">
        <f t="shared" si="6"/>
        <v>2</v>
      </c>
      <c r="E93" s="77"/>
      <c r="F93" s="69"/>
      <c r="G93" s="69"/>
      <c r="H93" s="69"/>
      <c r="I93" s="69"/>
      <c r="J93" s="69"/>
      <c r="K93" s="69"/>
      <c r="L93" s="69"/>
      <c r="M93" s="69"/>
      <c r="N93" s="69"/>
      <c r="O93" s="63"/>
      <c r="P93" s="63"/>
      <c r="Q93" s="63"/>
      <c r="R93" s="61" t="b">
        <f t="shared" si="4"/>
        <v>1</v>
      </c>
      <c r="U93" s="59">
        <v>11109</v>
      </c>
      <c r="V93" s="59" t="s">
        <v>598</v>
      </c>
      <c r="W93" s="59">
        <v>1</v>
      </c>
    </row>
    <row r="94" spans="1:23" s="61" customFormat="1" ht="37.5" customHeight="1" x14ac:dyDescent="0.25">
      <c r="A94" s="59" t="str">
        <f t="shared" si="5"/>
        <v>725 УКБ Управление комплексной белопасности</v>
      </c>
      <c r="B94" s="82">
        <v>11109</v>
      </c>
      <c r="C94" s="59" t="s">
        <v>481</v>
      </c>
      <c r="D94" s="83">
        <f t="shared" si="6"/>
        <v>1</v>
      </c>
      <c r="E94" s="76"/>
      <c r="F94" s="69"/>
      <c r="G94" s="69"/>
      <c r="H94" s="69"/>
      <c r="I94" s="69"/>
      <c r="J94" s="69"/>
      <c r="K94" s="69"/>
      <c r="L94" s="69"/>
      <c r="M94" s="69"/>
      <c r="N94" s="69"/>
      <c r="O94" s="63"/>
      <c r="P94" s="63"/>
      <c r="Q94" s="63"/>
      <c r="R94" s="61" t="b">
        <f t="shared" si="4"/>
        <v>1</v>
      </c>
      <c r="U94" s="59">
        <v>111091</v>
      </c>
      <c r="V94" s="59" t="s">
        <v>598</v>
      </c>
      <c r="W94" s="59">
        <v>2.75</v>
      </c>
    </row>
    <row r="95" spans="1:23" s="61" customFormat="1" ht="37.5" customHeight="1" x14ac:dyDescent="0.25">
      <c r="A95" s="59" t="str">
        <f t="shared" si="5"/>
        <v>725 УКБ Управление комплексной белопасности</v>
      </c>
      <c r="B95" s="82">
        <v>111091</v>
      </c>
      <c r="C95" s="59" t="s">
        <v>482</v>
      </c>
      <c r="D95" s="83">
        <f t="shared" si="6"/>
        <v>2.75</v>
      </c>
      <c r="E95" s="76"/>
      <c r="F95" s="69"/>
      <c r="G95" s="69"/>
      <c r="H95" s="69"/>
      <c r="I95" s="69"/>
      <c r="J95" s="69"/>
      <c r="K95" s="69"/>
      <c r="L95" s="69"/>
      <c r="M95" s="69"/>
      <c r="N95" s="69"/>
      <c r="O95" s="63"/>
      <c r="P95" s="63"/>
      <c r="Q95" s="63"/>
      <c r="R95" s="61" t="b">
        <f t="shared" si="4"/>
        <v>1</v>
      </c>
      <c r="U95" s="59">
        <v>111092</v>
      </c>
      <c r="V95" s="59" t="s">
        <v>598</v>
      </c>
      <c r="W95" s="59">
        <v>10.25</v>
      </c>
    </row>
    <row r="96" spans="1:23" s="61" customFormat="1" ht="37.5" customHeight="1" x14ac:dyDescent="0.25">
      <c r="A96" s="59" t="str">
        <f t="shared" si="5"/>
        <v>725 УКБ Управление комплексной белопасности</v>
      </c>
      <c r="B96" s="82">
        <v>111092</v>
      </c>
      <c r="C96" s="59" t="s">
        <v>483</v>
      </c>
      <c r="D96" s="83">
        <f t="shared" si="6"/>
        <v>10.25</v>
      </c>
      <c r="E96" s="76"/>
      <c r="F96" s="69"/>
      <c r="G96" s="69"/>
      <c r="H96" s="69"/>
      <c r="I96" s="69"/>
      <c r="J96" s="69"/>
      <c r="K96" s="69"/>
      <c r="L96" s="69"/>
      <c r="M96" s="69"/>
      <c r="N96" s="69"/>
      <c r="O96" s="63"/>
      <c r="P96" s="63"/>
      <c r="Q96" s="63"/>
      <c r="R96" s="61" t="b">
        <f t="shared" si="4"/>
        <v>1</v>
      </c>
      <c r="U96" s="59">
        <v>111093</v>
      </c>
      <c r="V96" s="59" t="s">
        <v>598</v>
      </c>
      <c r="W96" s="59">
        <v>1.25</v>
      </c>
    </row>
    <row r="97" spans="1:23" s="61" customFormat="1" ht="28.5" customHeight="1" x14ac:dyDescent="0.25">
      <c r="A97" s="59" t="str">
        <f t="shared" si="5"/>
        <v>725 УКБ Управление комплексной белопасности</v>
      </c>
      <c r="B97" s="82">
        <v>111093</v>
      </c>
      <c r="C97" s="59" t="s">
        <v>484</v>
      </c>
      <c r="D97" s="83">
        <f t="shared" si="6"/>
        <v>1.25</v>
      </c>
      <c r="E97" s="76"/>
      <c r="F97" s="69"/>
      <c r="G97" s="69"/>
      <c r="H97" s="69"/>
      <c r="I97" s="69"/>
      <c r="J97" s="69"/>
      <c r="K97" s="69"/>
      <c r="L97" s="69"/>
      <c r="M97" s="69"/>
      <c r="N97" s="69"/>
      <c r="O97" s="63"/>
      <c r="P97" s="63"/>
      <c r="Q97" s="63"/>
      <c r="R97" s="61" t="b">
        <f t="shared" si="4"/>
        <v>1</v>
      </c>
      <c r="U97" s="59">
        <v>112</v>
      </c>
      <c r="V97" s="59" t="s">
        <v>599</v>
      </c>
      <c r="W97" s="59">
        <v>1</v>
      </c>
    </row>
    <row r="98" spans="1:23" s="61" customFormat="1" ht="37.5" customHeight="1" x14ac:dyDescent="0.25">
      <c r="A98" s="59" t="str">
        <f t="shared" si="5"/>
        <v>003   Советник ректора</v>
      </c>
      <c r="B98" s="82">
        <v>112</v>
      </c>
      <c r="C98" s="59" t="s">
        <v>187</v>
      </c>
      <c r="D98" s="83">
        <f t="shared" si="6"/>
        <v>1</v>
      </c>
      <c r="E98" s="76"/>
      <c r="F98" s="128"/>
      <c r="G98" s="128"/>
      <c r="H98" s="128"/>
      <c r="I98" s="131"/>
      <c r="J98" s="131"/>
      <c r="K98" s="128"/>
      <c r="L98" s="131"/>
      <c r="M98" s="131"/>
      <c r="N98" s="128"/>
      <c r="O98" s="63"/>
      <c r="P98" s="63"/>
      <c r="Q98" s="63"/>
      <c r="R98" s="61" t="b">
        <f t="shared" si="4"/>
        <v>1</v>
      </c>
      <c r="U98" s="59">
        <v>11232</v>
      </c>
      <c r="V98" s="59" t="s">
        <v>600</v>
      </c>
      <c r="W98" s="59">
        <v>1</v>
      </c>
    </row>
    <row r="99" spans="1:23" s="61" customFormat="1" ht="37.5" customHeight="1" x14ac:dyDescent="0.25">
      <c r="A99" s="59" t="str">
        <f t="shared" si="5"/>
        <v>715   УСПТ   Управление по содержанию помещений и территорий</v>
      </c>
      <c r="B99" s="82">
        <v>11232</v>
      </c>
      <c r="C99" s="59" t="s">
        <v>485</v>
      </c>
      <c r="D99" s="83">
        <f t="shared" si="6"/>
        <v>1</v>
      </c>
      <c r="E99" s="76"/>
      <c r="F99" s="129"/>
      <c r="G99" s="129"/>
      <c r="H99" s="129"/>
      <c r="I99" s="132"/>
      <c r="J99" s="132"/>
      <c r="K99" s="129"/>
      <c r="L99" s="132"/>
      <c r="M99" s="132"/>
      <c r="N99" s="129"/>
      <c r="O99" s="63"/>
      <c r="P99" s="63"/>
      <c r="Q99" s="63"/>
      <c r="R99" s="61" t="b">
        <f t="shared" si="4"/>
        <v>1</v>
      </c>
      <c r="U99" s="59">
        <v>1123201</v>
      </c>
      <c r="V99" s="59" t="s">
        <v>600</v>
      </c>
      <c r="W99" s="59">
        <v>43</v>
      </c>
    </row>
    <row r="100" spans="1:23" s="61" customFormat="1" ht="37.5" customHeight="1" x14ac:dyDescent="0.25">
      <c r="A100" s="59" t="str">
        <f t="shared" si="5"/>
        <v>715   УСПТ   Управление по содержанию помещений и территорий</v>
      </c>
      <c r="B100" s="82">
        <v>1123201</v>
      </c>
      <c r="C100" s="59" t="s">
        <v>486</v>
      </c>
      <c r="D100" s="83">
        <f t="shared" si="6"/>
        <v>43</v>
      </c>
      <c r="E100" s="76"/>
      <c r="F100" s="130"/>
      <c r="G100" s="130"/>
      <c r="H100" s="130"/>
      <c r="I100" s="133"/>
      <c r="J100" s="133"/>
      <c r="K100" s="130"/>
      <c r="L100" s="133"/>
      <c r="M100" s="133"/>
      <c r="N100" s="130"/>
      <c r="O100" s="63"/>
      <c r="P100" s="63"/>
      <c r="Q100" s="63"/>
      <c r="R100" s="61" t="b">
        <f t="shared" ref="R100:R131" si="7">B101=U100</f>
        <v>1</v>
      </c>
      <c r="U100" s="59">
        <v>1123202</v>
      </c>
      <c r="V100" s="59" t="s">
        <v>600</v>
      </c>
      <c r="W100" s="59">
        <v>11</v>
      </c>
    </row>
    <row r="101" spans="1:23" s="61" customFormat="1" ht="37.5" customHeight="1" x14ac:dyDescent="0.25">
      <c r="A101" s="59" t="str">
        <f t="shared" si="5"/>
        <v>715   УСПТ   Управление по содержанию помещений и территорий</v>
      </c>
      <c r="B101" s="82">
        <v>1123202</v>
      </c>
      <c r="C101" s="59" t="s">
        <v>487</v>
      </c>
      <c r="D101" s="83">
        <f t="shared" si="6"/>
        <v>11</v>
      </c>
      <c r="E101" s="76"/>
      <c r="F101" s="69"/>
      <c r="G101" s="69"/>
      <c r="H101" s="69"/>
      <c r="I101" s="69"/>
      <c r="J101" s="69"/>
      <c r="K101" s="69"/>
      <c r="L101" s="69"/>
      <c r="M101" s="69"/>
      <c r="N101" s="69"/>
      <c r="O101" s="63"/>
      <c r="P101" s="63"/>
      <c r="Q101" s="63"/>
      <c r="R101" s="61" t="b">
        <f t="shared" si="7"/>
        <v>1</v>
      </c>
      <c r="U101" s="59">
        <v>11233</v>
      </c>
      <c r="V101" s="59" t="s">
        <v>601</v>
      </c>
      <c r="W101" s="59">
        <v>52.7</v>
      </c>
    </row>
    <row r="102" spans="1:23" s="61" customFormat="1" ht="24.75" customHeight="1" x14ac:dyDescent="0.25">
      <c r="A102" s="59" t="str">
        <f t="shared" si="5"/>
        <v>719   ОЭСР   Отдел эксплуатации, строительства и ремонтов</v>
      </c>
      <c r="B102" s="82">
        <v>11233</v>
      </c>
      <c r="C102" s="59" t="s">
        <v>488</v>
      </c>
      <c r="D102" s="83">
        <f t="shared" si="6"/>
        <v>52.7</v>
      </c>
      <c r="E102" s="76"/>
      <c r="F102" s="69"/>
      <c r="G102" s="69"/>
      <c r="H102" s="69"/>
      <c r="I102" s="69"/>
      <c r="J102" s="69"/>
      <c r="K102" s="69"/>
      <c r="L102" s="69"/>
      <c r="M102" s="69"/>
      <c r="N102" s="69"/>
      <c r="O102" s="63"/>
      <c r="P102" s="63"/>
      <c r="Q102" s="63"/>
      <c r="R102" s="61" t="b">
        <f t="shared" si="7"/>
        <v>1</v>
      </c>
      <c r="U102" s="59">
        <v>11243</v>
      </c>
      <c r="V102" s="59" t="s">
        <v>602</v>
      </c>
      <c r="W102" s="59">
        <v>2</v>
      </c>
    </row>
    <row r="103" spans="1:23" s="61" customFormat="1" ht="24.75" customHeight="1" x14ac:dyDescent="0.25">
      <c r="A103" s="59" t="str">
        <f t="shared" si="5"/>
        <v>718   Служба снабжения</v>
      </c>
      <c r="B103" s="82">
        <v>11243</v>
      </c>
      <c r="C103" s="59" t="s">
        <v>203</v>
      </c>
      <c r="D103" s="83">
        <f t="shared" si="6"/>
        <v>2</v>
      </c>
      <c r="E103" s="76"/>
      <c r="F103" s="69"/>
      <c r="G103" s="69"/>
      <c r="H103" s="69"/>
      <c r="I103" s="69"/>
      <c r="J103" s="69"/>
      <c r="K103" s="69"/>
      <c r="L103" s="69"/>
      <c r="M103" s="69"/>
      <c r="N103" s="69"/>
      <c r="O103" s="63"/>
      <c r="P103" s="63"/>
      <c r="Q103" s="63"/>
      <c r="R103" s="61" t="b">
        <f t="shared" si="7"/>
        <v>1</v>
      </c>
      <c r="U103" s="59">
        <v>11244</v>
      </c>
      <c r="V103" s="59" t="s">
        <v>603</v>
      </c>
      <c r="W103" s="59">
        <v>2</v>
      </c>
    </row>
    <row r="104" spans="1:23" s="61" customFormat="1" ht="24.75" customHeight="1" x14ac:dyDescent="0.25">
      <c r="A104" s="59" t="str">
        <f t="shared" si="5"/>
        <v>706   ОУИ   Отдел управления имуществом</v>
      </c>
      <c r="B104" s="82">
        <v>11244</v>
      </c>
      <c r="C104" s="59" t="s">
        <v>489</v>
      </c>
      <c r="D104" s="83">
        <f t="shared" si="6"/>
        <v>2</v>
      </c>
      <c r="E104" s="76"/>
      <c r="F104" s="69"/>
      <c r="G104" s="69"/>
      <c r="H104" s="69"/>
      <c r="I104" s="69"/>
      <c r="J104" s="69"/>
      <c r="K104" s="69"/>
      <c r="L104" s="69"/>
      <c r="M104" s="69"/>
      <c r="N104" s="69"/>
      <c r="O104" s="63"/>
      <c r="P104" s="63"/>
      <c r="Q104" s="63"/>
      <c r="R104" s="61" t="b">
        <f t="shared" si="7"/>
        <v>1</v>
      </c>
      <c r="U104" s="59">
        <v>11249</v>
      </c>
      <c r="V104" s="59" t="s">
        <v>604</v>
      </c>
      <c r="W104" s="59">
        <v>15.5</v>
      </c>
    </row>
    <row r="105" spans="1:23" s="61" customFormat="1" ht="24.75" customHeight="1" x14ac:dyDescent="0.25">
      <c r="A105" s="59" t="str">
        <f t="shared" si="5"/>
        <v>840   Студенческий городок</v>
      </c>
      <c r="B105" s="82">
        <v>11249</v>
      </c>
      <c r="C105" s="59" t="s">
        <v>490</v>
      </c>
      <c r="D105" s="83">
        <f t="shared" si="6"/>
        <v>15.5</v>
      </c>
      <c r="E105" s="76"/>
      <c r="F105" s="69"/>
      <c r="G105" s="69"/>
      <c r="H105" s="69"/>
      <c r="I105" s="69"/>
      <c r="J105" s="69"/>
      <c r="K105" s="69"/>
      <c r="L105" s="69"/>
      <c r="M105" s="69"/>
      <c r="N105" s="69"/>
      <c r="O105" s="63"/>
      <c r="P105" s="63"/>
      <c r="Q105" s="63"/>
      <c r="R105" s="61" t="b">
        <f t="shared" si="7"/>
        <v>1</v>
      </c>
      <c r="U105" s="59">
        <v>1124901</v>
      </c>
      <c r="V105" s="59" t="s">
        <v>604</v>
      </c>
      <c r="W105" s="59">
        <v>18.600000000000001</v>
      </c>
    </row>
    <row r="106" spans="1:23" s="61" customFormat="1" ht="24.75" customHeight="1" x14ac:dyDescent="0.25">
      <c r="A106" s="59" t="str">
        <f t="shared" si="5"/>
        <v>840   Студенческий городок</v>
      </c>
      <c r="B106" s="82">
        <v>1124901</v>
      </c>
      <c r="C106" s="59" t="s">
        <v>239</v>
      </c>
      <c r="D106" s="83">
        <f t="shared" si="6"/>
        <v>18.600000000000001</v>
      </c>
      <c r="E106" s="76"/>
      <c r="F106" s="69"/>
      <c r="G106" s="69"/>
      <c r="H106" s="69"/>
      <c r="I106" s="69"/>
      <c r="J106" s="69"/>
      <c r="K106" s="69"/>
      <c r="L106" s="69"/>
      <c r="M106" s="69"/>
      <c r="N106" s="69"/>
      <c r="O106" s="63"/>
      <c r="P106" s="63"/>
      <c r="Q106" s="63"/>
      <c r="R106" s="61" t="b">
        <f t="shared" si="7"/>
        <v>1</v>
      </c>
      <c r="U106" s="59">
        <v>1124902</v>
      </c>
      <c r="V106" s="59" t="s">
        <v>604</v>
      </c>
      <c r="W106" s="59">
        <v>20.100000000000001</v>
      </c>
    </row>
    <row r="107" spans="1:23" s="61" customFormat="1" ht="24.75" customHeight="1" x14ac:dyDescent="0.25">
      <c r="A107" s="59" t="str">
        <f t="shared" si="5"/>
        <v>840   Студенческий городок</v>
      </c>
      <c r="B107" s="82">
        <v>1124902</v>
      </c>
      <c r="C107" s="59" t="s">
        <v>241</v>
      </c>
      <c r="D107" s="83">
        <f t="shared" si="6"/>
        <v>20.100000000000001</v>
      </c>
      <c r="E107" s="76"/>
      <c r="F107" s="69"/>
      <c r="G107" s="69"/>
      <c r="H107" s="69"/>
      <c r="I107" s="69"/>
      <c r="J107" s="69"/>
      <c r="K107" s="69"/>
      <c r="L107" s="69"/>
      <c r="M107" s="69"/>
      <c r="N107" s="69"/>
      <c r="O107" s="63"/>
      <c r="P107" s="63"/>
      <c r="Q107" s="63"/>
      <c r="R107" s="61" t="b">
        <f t="shared" si="7"/>
        <v>1</v>
      </c>
      <c r="U107" s="59">
        <v>1124903</v>
      </c>
      <c r="V107" s="59" t="s">
        <v>604</v>
      </c>
      <c r="W107" s="59">
        <v>8</v>
      </c>
    </row>
    <row r="108" spans="1:23" s="61" customFormat="1" ht="24.75" customHeight="1" x14ac:dyDescent="0.25">
      <c r="A108" s="59" t="str">
        <f t="shared" si="5"/>
        <v>840   Студенческий городок</v>
      </c>
      <c r="B108" s="82">
        <v>1124903</v>
      </c>
      <c r="C108" s="59" t="s">
        <v>243</v>
      </c>
      <c r="D108" s="83">
        <f t="shared" si="6"/>
        <v>8</v>
      </c>
      <c r="E108" s="76"/>
      <c r="F108" s="69"/>
      <c r="G108" s="69"/>
      <c r="H108" s="69"/>
      <c r="I108" s="69"/>
      <c r="J108" s="69"/>
      <c r="K108" s="69"/>
      <c r="L108" s="69"/>
      <c r="M108" s="69"/>
      <c r="N108" s="69"/>
      <c r="O108" s="63"/>
      <c r="P108" s="63"/>
      <c r="Q108" s="63"/>
      <c r="R108" s="61" t="b">
        <f t="shared" si="7"/>
        <v>1</v>
      </c>
      <c r="U108" s="59">
        <v>1124914</v>
      </c>
      <c r="V108" s="59" t="s">
        <v>604</v>
      </c>
      <c r="W108" s="59">
        <v>8.25</v>
      </c>
    </row>
    <row r="109" spans="1:23" s="61" customFormat="1" ht="24.75" customHeight="1" x14ac:dyDescent="0.25">
      <c r="A109" s="59" t="str">
        <f t="shared" si="5"/>
        <v>840   Студенческий городок</v>
      </c>
      <c r="B109" s="82">
        <v>1124914</v>
      </c>
      <c r="C109" s="59" t="s">
        <v>245</v>
      </c>
      <c r="D109" s="83">
        <f t="shared" si="6"/>
        <v>8.25</v>
      </c>
      <c r="E109" s="76"/>
      <c r="F109" s="69"/>
      <c r="G109" s="69"/>
      <c r="H109" s="69"/>
      <c r="I109" s="69"/>
      <c r="J109" s="69"/>
      <c r="K109" s="69"/>
      <c r="L109" s="69"/>
      <c r="M109" s="69"/>
      <c r="N109" s="69"/>
      <c r="O109" s="63"/>
      <c r="P109" s="63"/>
      <c r="Q109" s="63"/>
      <c r="R109" s="61" t="b">
        <f t="shared" si="7"/>
        <v>1</v>
      </c>
      <c r="U109" s="59">
        <v>11256</v>
      </c>
      <c r="V109" s="59" t="s">
        <v>605</v>
      </c>
      <c r="W109" s="59">
        <v>7.5</v>
      </c>
    </row>
    <row r="110" spans="1:23" s="61" customFormat="1" ht="37.5" customHeight="1" x14ac:dyDescent="0.25">
      <c r="A110" s="59" t="str">
        <f t="shared" si="5"/>
        <v>713   Транспортная служба</v>
      </c>
      <c r="B110" s="82">
        <v>11256</v>
      </c>
      <c r="C110" s="59" t="s">
        <v>118</v>
      </c>
      <c r="D110" s="83">
        <f t="shared" si="6"/>
        <v>7.5</v>
      </c>
      <c r="E110" s="76"/>
      <c r="F110" s="69"/>
      <c r="G110" s="69"/>
      <c r="H110" s="69"/>
      <c r="I110" s="69"/>
      <c r="J110" s="69"/>
      <c r="K110" s="69"/>
      <c r="L110" s="69"/>
      <c r="M110" s="69"/>
      <c r="N110" s="69"/>
      <c r="O110" s="63"/>
      <c r="P110" s="63"/>
      <c r="Q110" s="63"/>
      <c r="R110" s="61" t="b">
        <f t="shared" si="7"/>
        <v>1</v>
      </c>
      <c r="U110" s="59">
        <v>113</v>
      </c>
      <c r="V110" s="59" t="s">
        <v>606</v>
      </c>
      <c r="W110" s="59">
        <v>1</v>
      </c>
    </row>
    <row r="111" spans="1:23" s="61" customFormat="1" ht="30" customHeight="1" x14ac:dyDescent="0.25">
      <c r="A111" s="59" t="str">
        <f t="shared" si="5"/>
        <v>008   Проректор по молодежной политике и воспитательной работе</v>
      </c>
      <c r="B111" s="82">
        <v>113</v>
      </c>
      <c r="C111" s="59" t="s">
        <v>206</v>
      </c>
      <c r="D111" s="83">
        <f t="shared" si="6"/>
        <v>1</v>
      </c>
      <c r="E111" s="76"/>
      <c r="F111" s="69"/>
      <c r="G111" s="69"/>
      <c r="H111" s="69"/>
      <c r="I111" s="69"/>
      <c r="J111" s="69"/>
      <c r="K111" s="69"/>
      <c r="L111" s="69"/>
      <c r="M111" s="69"/>
      <c r="N111" s="69"/>
      <c r="O111" s="63"/>
      <c r="P111" s="63"/>
      <c r="Q111" s="63"/>
      <c r="R111" s="61" t="b">
        <f t="shared" si="7"/>
        <v>1</v>
      </c>
      <c r="U111" s="59">
        <v>1135</v>
      </c>
      <c r="V111" s="59" t="s">
        <v>607</v>
      </c>
      <c r="W111" s="59">
        <v>6</v>
      </c>
    </row>
    <row r="112" spans="1:23" s="61" customFormat="1" ht="30" customHeight="1" x14ac:dyDescent="0.25">
      <c r="A112" s="59" t="str">
        <f t="shared" si="5"/>
        <v>890   УМП   Управление молодежной политики</v>
      </c>
      <c r="B112" s="82">
        <v>1135</v>
      </c>
      <c r="C112" s="59" t="s">
        <v>491</v>
      </c>
      <c r="D112" s="83">
        <f t="shared" si="6"/>
        <v>6</v>
      </c>
      <c r="E112" s="76"/>
      <c r="F112" s="69"/>
      <c r="G112" s="69"/>
      <c r="H112" s="69"/>
      <c r="I112" s="69"/>
      <c r="J112" s="69"/>
      <c r="K112" s="69"/>
      <c r="L112" s="69"/>
      <c r="M112" s="69"/>
      <c r="N112" s="69"/>
      <c r="O112" s="63"/>
      <c r="P112" s="63"/>
      <c r="Q112" s="63"/>
      <c r="R112" s="61" t="b">
        <f t="shared" si="7"/>
        <v>1</v>
      </c>
      <c r="U112" s="59">
        <v>113501</v>
      </c>
      <c r="V112" s="59" t="s">
        <v>607</v>
      </c>
      <c r="W112" s="59">
        <v>6.5</v>
      </c>
    </row>
    <row r="113" spans="1:23" s="61" customFormat="1" ht="30" customHeight="1" x14ac:dyDescent="0.25">
      <c r="A113" s="59" t="str">
        <f t="shared" si="5"/>
        <v>890   УМП   Управление молодежной политики</v>
      </c>
      <c r="B113" s="82">
        <v>113501</v>
      </c>
      <c r="C113" s="59" t="s">
        <v>392</v>
      </c>
      <c r="D113" s="83">
        <f t="shared" si="6"/>
        <v>6.5</v>
      </c>
      <c r="E113" s="76"/>
      <c r="F113" s="69"/>
      <c r="G113" s="69"/>
      <c r="H113" s="69"/>
      <c r="I113" s="69"/>
      <c r="J113" s="69"/>
      <c r="K113" s="69"/>
      <c r="L113" s="69"/>
      <c r="M113" s="69"/>
      <c r="N113" s="69"/>
      <c r="O113" s="63"/>
      <c r="P113" s="63"/>
      <c r="Q113" s="63"/>
      <c r="R113" s="61" t="b">
        <f t="shared" si="7"/>
        <v>1</v>
      </c>
      <c r="U113" s="59">
        <v>113502</v>
      </c>
      <c r="V113" s="59" t="s">
        <v>607</v>
      </c>
      <c r="W113" s="59">
        <v>2</v>
      </c>
    </row>
    <row r="114" spans="1:23" s="61" customFormat="1" ht="30" customHeight="1" x14ac:dyDescent="0.25">
      <c r="A114" s="59" t="str">
        <f t="shared" si="5"/>
        <v>890   УМП   Управление молодежной политики</v>
      </c>
      <c r="B114" s="82">
        <v>113502</v>
      </c>
      <c r="C114" s="59" t="s">
        <v>251</v>
      </c>
      <c r="D114" s="83">
        <f t="shared" si="6"/>
        <v>2</v>
      </c>
      <c r="E114" s="76"/>
      <c r="F114" s="69"/>
      <c r="G114" s="69"/>
      <c r="H114" s="69"/>
      <c r="I114" s="69"/>
      <c r="J114" s="69"/>
      <c r="K114" s="69"/>
      <c r="L114" s="69"/>
      <c r="M114" s="69"/>
      <c r="N114" s="69"/>
      <c r="O114" s="63"/>
      <c r="P114" s="63"/>
      <c r="Q114" s="63"/>
      <c r="R114" s="61" t="b">
        <f t="shared" si="7"/>
        <v>1</v>
      </c>
      <c r="U114" s="59">
        <v>113503</v>
      </c>
      <c r="V114" s="59" t="s">
        <v>607</v>
      </c>
      <c r="W114" s="59">
        <v>4.3</v>
      </c>
    </row>
    <row r="115" spans="1:23" s="61" customFormat="1" ht="30" customHeight="1" x14ac:dyDescent="0.25">
      <c r="A115" s="59" t="str">
        <f t="shared" si="5"/>
        <v>890   УМП   Управление молодежной политики</v>
      </c>
      <c r="B115" s="82">
        <v>113503</v>
      </c>
      <c r="C115" s="59" t="s">
        <v>492</v>
      </c>
      <c r="D115" s="83">
        <f t="shared" si="6"/>
        <v>4.3</v>
      </c>
      <c r="E115" s="76"/>
      <c r="F115" s="69"/>
      <c r="G115" s="69"/>
      <c r="H115" s="69"/>
      <c r="I115" s="69"/>
      <c r="J115" s="69"/>
      <c r="K115" s="69"/>
      <c r="L115" s="69"/>
      <c r="M115" s="69"/>
      <c r="N115" s="69"/>
      <c r="O115" s="63"/>
      <c r="P115" s="63"/>
      <c r="Q115" s="63"/>
      <c r="R115" s="61" t="b">
        <f t="shared" si="7"/>
        <v>1</v>
      </c>
      <c r="U115" s="59">
        <v>114</v>
      </c>
      <c r="V115" s="59" t="s">
        <v>608</v>
      </c>
      <c r="W115" s="59">
        <v>1.25</v>
      </c>
    </row>
    <row r="116" spans="1:23" s="61" customFormat="1" ht="37.5" customHeight="1" x14ac:dyDescent="0.25">
      <c r="A116" s="59" t="str">
        <f t="shared" si="5"/>
        <v>005   Первый проректор</v>
      </c>
      <c r="B116" s="82">
        <v>114</v>
      </c>
      <c r="C116" s="59" t="s">
        <v>493</v>
      </c>
      <c r="D116" s="83">
        <f t="shared" si="6"/>
        <v>1.25</v>
      </c>
      <c r="E116" s="76"/>
      <c r="F116" s="69"/>
      <c r="G116" s="69"/>
      <c r="H116" s="69"/>
      <c r="I116" s="69"/>
      <c r="J116" s="69"/>
      <c r="K116" s="69"/>
      <c r="L116" s="69"/>
      <c r="M116" s="69"/>
      <c r="N116" s="69"/>
      <c r="O116" s="63"/>
      <c r="P116" s="63"/>
      <c r="Q116" s="63"/>
      <c r="R116" s="61" t="b">
        <f t="shared" si="7"/>
        <v>1</v>
      </c>
      <c r="U116" s="59">
        <v>11415</v>
      </c>
      <c r="V116" s="59" t="s">
        <v>609</v>
      </c>
      <c r="W116" s="59">
        <v>1</v>
      </c>
    </row>
    <row r="117" spans="1:23" s="61" customFormat="1" ht="37.5" customHeight="1" x14ac:dyDescent="0.25">
      <c r="A117" s="59" t="str">
        <f t="shared" si="5"/>
        <v>450   ДОУД   Департамент организации учебной деятельности</v>
      </c>
      <c r="B117" s="82">
        <v>11415</v>
      </c>
      <c r="C117" s="59" t="s">
        <v>494</v>
      </c>
      <c r="D117" s="83">
        <f t="shared" si="6"/>
        <v>1</v>
      </c>
      <c r="E117" s="76"/>
      <c r="F117" s="69"/>
      <c r="G117" s="69"/>
      <c r="H117" s="69"/>
      <c r="I117" s="69"/>
      <c r="J117" s="69"/>
      <c r="K117" s="69"/>
      <c r="L117" s="69"/>
      <c r="M117" s="69"/>
      <c r="N117" s="69"/>
      <c r="O117" s="63"/>
      <c r="P117" s="63"/>
      <c r="Q117" s="63"/>
      <c r="R117" s="61" t="b">
        <f t="shared" si="7"/>
        <v>1</v>
      </c>
      <c r="U117" s="59">
        <v>114151</v>
      </c>
      <c r="V117" s="59" t="s">
        <v>609</v>
      </c>
      <c r="W117" s="59">
        <v>4</v>
      </c>
    </row>
    <row r="118" spans="1:23" s="61" customFormat="1" ht="37.5" customHeight="1" x14ac:dyDescent="0.25">
      <c r="A118" s="59" t="str">
        <f t="shared" si="5"/>
        <v>450   ДОУД   Департамент организации учебной деятельности</v>
      </c>
      <c r="B118" s="82">
        <v>114151</v>
      </c>
      <c r="C118" s="59" t="s">
        <v>495</v>
      </c>
      <c r="D118" s="83">
        <f t="shared" si="6"/>
        <v>4</v>
      </c>
      <c r="E118" s="76"/>
      <c r="F118" s="69"/>
      <c r="G118" s="69"/>
      <c r="H118" s="69"/>
      <c r="I118" s="69"/>
      <c r="J118" s="69"/>
      <c r="K118" s="69"/>
      <c r="L118" s="69"/>
      <c r="M118" s="69"/>
      <c r="N118" s="69"/>
      <c r="O118" s="63"/>
      <c r="P118" s="63"/>
      <c r="Q118" s="63"/>
      <c r="R118" s="61" t="b">
        <f t="shared" si="7"/>
        <v>1</v>
      </c>
      <c r="U118" s="59">
        <v>114152</v>
      </c>
      <c r="V118" s="59" t="s">
        <v>609</v>
      </c>
      <c r="W118" s="59">
        <v>6</v>
      </c>
    </row>
    <row r="119" spans="1:23" s="61" customFormat="1" ht="37.5" customHeight="1" x14ac:dyDescent="0.25">
      <c r="A119" s="59" t="str">
        <f t="shared" si="5"/>
        <v>450   ДОУД   Департамент организации учебной деятельности</v>
      </c>
      <c r="B119" s="82">
        <v>114152</v>
      </c>
      <c r="C119" s="59" t="s">
        <v>496</v>
      </c>
      <c r="D119" s="83">
        <f t="shared" si="6"/>
        <v>6</v>
      </c>
      <c r="E119" s="76"/>
      <c r="F119" s="69"/>
      <c r="G119" s="69"/>
      <c r="H119" s="69"/>
      <c r="I119" s="69"/>
      <c r="J119" s="69"/>
      <c r="K119" s="69"/>
      <c r="L119" s="69"/>
      <c r="M119" s="69"/>
      <c r="N119" s="69"/>
      <c r="O119" s="63"/>
      <c r="P119" s="63"/>
      <c r="Q119" s="63"/>
      <c r="R119" s="61" t="b">
        <f t="shared" si="7"/>
        <v>1</v>
      </c>
      <c r="U119" s="59">
        <v>114157</v>
      </c>
      <c r="V119" s="59" t="s">
        <v>610</v>
      </c>
      <c r="W119" s="59">
        <v>1.5</v>
      </c>
    </row>
    <row r="120" spans="1:23" s="61" customFormat="1" ht="37.5" customHeight="1" x14ac:dyDescent="0.25">
      <c r="A120" s="59" t="str">
        <f t="shared" si="5"/>
        <v>870   УРС   Управление по работе со студентами</v>
      </c>
      <c r="B120" s="82">
        <v>114157</v>
      </c>
      <c r="C120" s="59" t="s">
        <v>497</v>
      </c>
      <c r="D120" s="83">
        <f t="shared" si="6"/>
        <v>1.5</v>
      </c>
      <c r="E120" s="76"/>
      <c r="F120" s="69"/>
      <c r="G120" s="69"/>
      <c r="H120" s="69"/>
      <c r="I120" s="69"/>
      <c r="J120" s="69"/>
      <c r="K120" s="69"/>
      <c r="L120" s="69"/>
      <c r="M120" s="69"/>
      <c r="N120" s="69"/>
      <c r="O120" s="63"/>
      <c r="P120" s="63"/>
      <c r="Q120" s="63"/>
      <c r="R120" s="61" t="b">
        <f t="shared" si="7"/>
        <v>1</v>
      </c>
      <c r="U120" s="59">
        <v>11415701</v>
      </c>
      <c r="V120" s="59" t="s">
        <v>610</v>
      </c>
      <c r="W120" s="59">
        <v>11</v>
      </c>
    </row>
    <row r="121" spans="1:23" s="61" customFormat="1" ht="37.5" customHeight="1" x14ac:dyDescent="0.25">
      <c r="A121" s="59" t="str">
        <f t="shared" si="5"/>
        <v>870   УРС   Управление по работе со студентами</v>
      </c>
      <c r="B121" s="82">
        <v>11415701</v>
      </c>
      <c r="C121" s="59" t="s">
        <v>498</v>
      </c>
      <c r="D121" s="83">
        <f t="shared" si="6"/>
        <v>11</v>
      </c>
      <c r="E121" s="76"/>
      <c r="F121" s="69"/>
      <c r="G121" s="69"/>
      <c r="H121" s="69"/>
      <c r="I121" s="69"/>
      <c r="J121" s="69"/>
      <c r="K121" s="69"/>
      <c r="L121" s="69"/>
      <c r="M121" s="69"/>
      <c r="N121" s="69"/>
      <c r="O121" s="63"/>
      <c r="P121" s="63"/>
      <c r="Q121" s="63"/>
      <c r="R121" s="61" t="b">
        <f t="shared" si="7"/>
        <v>1</v>
      </c>
      <c r="U121" s="59">
        <v>11415702</v>
      </c>
      <c r="V121" s="59" t="s">
        <v>610</v>
      </c>
      <c r="W121" s="59">
        <v>8</v>
      </c>
    </row>
    <row r="122" spans="1:23" s="61" customFormat="1" ht="37.5" customHeight="1" x14ac:dyDescent="0.25">
      <c r="A122" s="59" t="str">
        <f t="shared" si="5"/>
        <v>870   УРС   Управление по работе со студентами</v>
      </c>
      <c r="B122" s="82">
        <v>11415702</v>
      </c>
      <c r="C122" s="59" t="s">
        <v>499</v>
      </c>
      <c r="D122" s="83">
        <f t="shared" si="6"/>
        <v>8</v>
      </c>
      <c r="E122" s="76"/>
      <c r="F122" s="69"/>
      <c r="G122" s="69"/>
      <c r="H122" s="69"/>
      <c r="I122" s="69"/>
      <c r="J122" s="69"/>
      <c r="K122" s="69"/>
      <c r="L122" s="69"/>
      <c r="M122" s="69"/>
      <c r="N122" s="69"/>
      <c r="O122" s="63"/>
      <c r="P122" s="63"/>
      <c r="Q122" s="63"/>
      <c r="R122" s="61" t="b">
        <f t="shared" si="7"/>
        <v>1</v>
      </c>
      <c r="U122" s="59">
        <v>11415703</v>
      </c>
      <c r="V122" s="59" t="s">
        <v>610</v>
      </c>
      <c r="W122" s="59">
        <v>4.5</v>
      </c>
    </row>
    <row r="123" spans="1:23" s="61" customFormat="1" ht="37.5" customHeight="1" x14ac:dyDescent="0.25">
      <c r="A123" s="59" t="str">
        <f t="shared" si="5"/>
        <v>870   УРС   Управление по работе со студентами</v>
      </c>
      <c r="B123" s="82">
        <v>11415703</v>
      </c>
      <c r="C123" s="59" t="s">
        <v>500</v>
      </c>
      <c r="D123" s="83">
        <f t="shared" si="6"/>
        <v>4.5</v>
      </c>
      <c r="E123" s="76"/>
      <c r="F123" s="69"/>
      <c r="G123" s="69"/>
      <c r="H123" s="69"/>
      <c r="I123" s="69"/>
      <c r="J123" s="69"/>
      <c r="K123" s="69"/>
      <c r="L123" s="69"/>
      <c r="M123" s="69"/>
      <c r="N123" s="69"/>
      <c r="O123" s="63"/>
      <c r="P123" s="63"/>
      <c r="Q123" s="63"/>
      <c r="R123" s="61" t="b">
        <f t="shared" si="7"/>
        <v>1</v>
      </c>
      <c r="U123" s="59">
        <v>11415705</v>
      </c>
      <c r="V123" s="59" t="s">
        <v>610</v>
      </c>
      <c r="W123" s="59">
        <v>1</v>
      </c>
    </row>
    <row r="124" spans="1:23" s="61" customFormat="1" ht="37.5" customHeight="1" x14ac:dyDescent="0.25">
      <c r="A124" s="59" t="str">
        <f t="shared" si="5"/>
        <v>870   УРС   Управление по работе со студентами</v>
      </c>
      <c r="B124" s="82">
        <v>11415705</v>
      </c>
      <c r="C124" s="59" t="s">
        <v>501</v>
      </c>
      <c r="D124" s="83">
        <f t="shared" si="6"/>
        <v>1</v>
      </c>
      <c r="E124" s="76"/>
      <c r="F124" s="69"/>
      <c r="G124" s="69"/>
      <c r="H124" s="69"/>
      <c r="I124" s="69"/>
      <c r="J124" s="69"/>
      <c r="K124" s="69"/>
      <c r="L124" s="69"/>
      <c r="M124" s="69"/>
      <c r="N124" s="69"/>
      <c r="O124" s="63"/>
      <c r="P124" s="63"/>
      <c r="Q124" s="63"/>
      <c r="R124" s="61" t="b">
        <f t="shared" si="7"/>
        <v>1</v>
      </c>
      <c r="U124" s="59">
        <v>114159</v>
      </c>
      <c r="V124" s="59" t="s">
        <v>609</v>
      </c>
      <c r="W124" s="59">
        <v>1</v>
      </c>
    </row>
    <row r="125" spans="1:23" s="61" customFormat="1" ht="21.75" customHeight="1" x14ac:dyDescent="0.25">
      <c r="A125" s="59" t="str">
        <f t="shared" si="5"/>
        <v>450   ДОУД   Департамент организации учебной деятельности</v>
      </c>
      <c r="B125" s="82">
        <v>114159</v>
      </c>
      <c r="C125" s="59" t="s">
        <v>502</v>
      </c>
      <c r="D125" s="83">
        <f t="shared" si="6"/>
        <v>1</v>
      </c>
      <c r="E125" s="76"/>
      <c r="F125" s="69"/>
      <c r="G125" s="69"/>
      <c r="H125" s="69"/>
      <c r="I125" s="69"/>
      <c r="J125" s="69"/>
      <c r="K125" s="69"/>
      <c r="L125" s="69"/>
      <c r="M125" s="69"/>
      <c r="N125" s="69"/>
      <c r="O125" s="63"/>
      <c r="P125" s="63"/>
      <c r="Q125" s="63"/>
      <c r="R125" s="61" t="b">
        <f t="shared" si="7"/>
        <v>1</v>
      </c>
      <c r="U125" s="59">
        <v>11416</v>
      </c>
      <c r="V125" s="59" t="s">
        <v>611</v>
      </c>
      <c r="W125" s="59">
        <v>1</v>
      </c>
    </row>
    <row r="126" spans="1:23" s="61" customFormat="1" ht="45.75" customHeight="1" x14ac:dyDescent="0.25">
      <c r="A126" s="59" t="str">
        <f t="shared" si="5"/>
        <v>010   Приемная комиссия</v>
      </c>
      <c r="B126" s="82">
        <v>11416</v>
      </c>
      <c r="C126" s="59" t="s">
        <v>503</v>
      </c>
      <c r="D126" s="83">
        <f t="shared" si="6"/>
        <v>1</v>
      </c>
      <c r="E126" s="76"/>
      <c r="F126" s="69"/>
      <c r="G126" s="69"/>
      <c r="H126" s="69"/>
      <c r="I126" s="69"/>
      <c r="J126" s="69"/>
      <c r="K126" s="69"/>
      <c r="L126" s="69"/>
      <c r="M126" s="69"/>
      <c r="N126" s="69"/>
      <c r="O126" s="63"/>
      <c r="P126" s="63"/>
      <c r="Q126" s="63"/>
      <c r="R126" s="61" t="b">
        <f t="shared" si="7"/>
        <v>1</v>
      </c>
      <c r="U126" s="59">
        <v>11419</v>
      </c>
      <c r="V126" s="59" t="s">
        <v>612</v>
      </c>
      <c r="W126" s="59">
        <v>1</v>
      </c>
    </row>
    <row r="127" spans="1:23" s="61" customFormat="1" ht="45.75" customHeight="1" x14ac:dyDescent="0.25">
      <c r="A127" s="59" t="str">
        <f t="shared" si="5"/>
        <v>710   ДМРПО   Департамент мониторинга и развития профессионального образования</v>
      </c>
      <c r="B127" s="82">
        <v>11419</v>
      </c>
      <c r="C127" s="59" t="s">
        <v>504</v>
      </c>
      <c r="D127" s="83">
        <f t="shared" si="6"/>
        <v>1</v>
      </c>
      <c r="E127" s="76"/>
      <c r="F127" s="69"/>
      <c r="G127" s="69"/>
      <c r="H127" s="69"/>
      <c r="I127" s="69"/>
      <c r="J127" s="69"/>
      <c r="K127" s="69"/>
      <c r="L127" s="69"/>
      <c r="M127" s="69"/>
      <c r="N127" s="69"/>
      <c r="O127" s="63"/>
      <c r="P127" s="63"/>
      <c r="Q127" s="63"/>
      <c r="R127" s="61" t="b">
        <f t="shared" si="7"/>
        <v>1</v>
      </c>
      <c r="U127" s="59">
        <v>11419001</v>
      </c>
      <c r="V127" s="59" t="s">
        <v>612</v>
      </c>
      <c r="W127" s="59">
        <v>3.5</v>
      </c>
    </row>
    <row r="128" spans="1:23" s="61" customFormat="1" ht="45.75" customHeight="1" x14ac:dyDescent="0.25">
      <c r="A128" s="59" t="str">
        <f t="shared" si="5"/>
        <v>710   ДМРПО   Департамент мониторинга и развития профессионального образования</v>
      </c>
      <c r="B128" s="82">
        <v>11419001</v>
      </c>
      <c r="C128" s="59" t="s">
        <v>364</v>
      </c>
      <c r="D128" s="83">
        <f t="shared" si="6"/>
        <v>3.5</v>
      </c>
      <c r="E128" s="76"/>
      <c r="F128" s="69"/>
      <c r="G128" s="69"/>
      <c r="H128" s="69"/>
      <c r="I128" s="69"/>
      <c r="J128" s="69"/>
      <c r="K128" s="69"/>
      <c r="L128" s="69"/>
      <c r="M128" s="69"/>
      <c r="N128" s="69"/>
      <c r="O128" s="63"/>
      <c r="P128" s="63"/>
      <c r="Q128" s="63"/>
      <c r="R128" s="61" t="b">
        <f t="shared" si="7"/>
        <v>1</v>
      </c>
      <c r="U128" s="59">
        <v>11419002</v>
      </c>
      <c r="V128" s="59" t="s">
        <v>612</v>
      </c>
      <c r="W128" s="59">
        <v>2</v>
      </c>
    </row>
    <row r="129" spans="1:23" s="61" customFormat="1" ht="45.75" customHeight="1" x14ac:dyDescent="0.25">
      <c r="A129" s="59" t="str">
        <f t="shared" si="5"/>
        <v>710   ДМРПО   Департамент мониторинга и развития профессионального образования</v>
      </c>
      <c r="B129" s="82">
        <v>11419002</v>
      </c>
      <c r="C129" s="59" t="s">
        <v>505</v>
      </c>
      <c r="D129" s="83">
        <f t="shared" si="6"/>
        <v>2</v>
      </c>
      <c r="E129" s="76"/>
      <c r="F129" s="69"/>
      <c r="G129" s="69"/>
      <c r="H129" s="69"/>
      <c r="I129" s="69"/>
      <c r="J129" s="69"/>
      <c r="K129" s="69"/>
      <c r="L129" s="69"/>
      <c r="M129" s="69"/>
      <c r="N129" s="69"/>
      <c r="O129" s="63"/>
      <c r="P129" s="63"/>
      <c r="Q129" s="63"/>
      <c r="R129" s="61" t="b">
        <f t="shared" si="7"/>
        <v>1</v>
      </c>
      <c r="U129" s="59">
        <v>11419003</v>
      </c>
      <c r="V129" s="59" t="s">
        <v>612</v>
      </c>
      <c r="W129" s="59">
        <v>2.75</v>
      </c>
    </row>
    <row r="130" spans="1:23" s="61" customFormat="1" ht="45.75" customHeight="1" x14ac:dyDescent="0.25">
      <c r="A130" s="59" t="str">
        <f t="shared" si="5"/>
        <v>710   ДМРПО   Департамент мониторинга и развития профессионального образования</v>
      </c>
      <c r="B130" s="82">
        <v>11419003</v>
      </c>
      <c r="C130" s="59" t="s">
        <v>506</v>
      </c>
      <c r="D130" s="83">
        <f t="shared" si="6"/>
        <v>2.75</v>
      </c>
      <c r="E130" s="76"/>
      <c r="F130" s="69"/>
      <c r="G130" s="69"/>
      <c r="H130" s="69"/>
      <c r="I130" s="69"/>
      <c r="J130" s="69"/>
      <c r="K130" s="69"/>
      <c r="L130" s="69"/>
      <c r="M130" s="69"/>
      <c r="N130" s="69"/>
      <c r="O130" s="63"/>
      <c r="P130" s="63"/>
      <c r="Q130" s="63"/>
      <c r="R130" s="61" t="b">
        <f t="shared" si="7"/>
        <v>1</v>
      </c>
      <c r="U130" s="59">
        <v>11430</v>
      </c>
      <c r="V130" s="59" t="s">
        <v>613</v>
      </c>
      <c r="W130" s="59">
        <v>1</v>
      </c>
    </row>
    <row r="131" spans="1:23" s="61" customFormat="1" ht="45.75" customHeight="1" x14ac:dyDescent="0.25">
      <c r="A131" s="59" t="str">
        <f t="shared" si="5"/>
        <v>420   ДНИР   Департамент научно исследовательской работы</v>
      </c>
      <c r="B131" s="82">
        <v>11430</v>
      </c>
      <c r="C131" s="59" t="s">
        <v>507</v>
      </c>
      <c r="D131" s="83">
        <f t="shared" si="6"/>
        <v>1</v>
      </c>
      <c r="E131" s="76"/>
      <c r="F131" s="69"/>
      <c r="G131" s="69"/>
      <c r="H131" s="69"/>
      <c r="I131" s="69"/>
      <c r="J131" s="69"/>
      <c r="K131" s="69"/>
      <c r="L131" s="69"/>
      <c r="M131" s="69"/>
      <c r="N131" s="69"/>
      <c r="O131" s="63"/>
      <c r="P131" s="63"/>
      <c r="Q131" s="63"/>
      <c r="R131" s="61" t="b">
        <f t="shared" si="7"/>
        <v>1</v>
      </c>
      <c r="U131" s="59">
        <v>1143001</v>
      </c>
      <c r="V131" s="59" t="s">
        <v>613</v>
      </c>
      <c r="W131" s="59">
        <v>0.55000000000000004</v>
      </c>
    </row>
    <row r="132" spans="1:23" s="61" customFormat="1" ht="45.75" customHeight="1" x14ac:dyDescent="0.25">
      <c r="A132" s="59" t="str">
        <f t="shared" si="5"/>
        <v>420   ДНИР   Департамент научно исследовательской работы</v>
      </c>
      <c r="B132" s="82">
        <v>1143001</v>
      </c>
      <c r="C132" s="59" t="s">
        <v>508</v>
      </c>
      <c r="D132" s="83">
        <f t="shared" si="6"/>
        <v>0.55000000000000004</v>
      </c>
      <c r="E132" s="76"/>
      <c r="F132" s="69"/>
      <c r="G132" s="69"/>
      <c r="H132" s="69"/>
      <c r="I132" s="69"/>
      <c r="J132" s="69"/>
      <c r="K132" s="69"/>
      <c r="L132" s="69"/>
      <c r="M132" s="69"/>
      <c r="N132" s="69"/>
      <c r="O132" s="59"/>
      <c r="P132" s="59"/>
      <c r="Q132" s="59"/>
      <c r="R132" s="61" t="b">
        <f t="shared" ref="R132:R160" si="8">B133=U132</f>
        <v>1</v>
      </c>
      <c r="U132" s="59">
        <v>114300122</v>
      </c>
      <c r="V132" s="59" t="s">
        <v>613</v>
      </c>
      <c r="W132" s="59">
        <v>0.60000000000000009</v>
      </c>
    </row>
    <row r="133" spans="1:23" s="61" customFormat="1" ht="45.75" customHeight="1" x14ac:dyDescent="0.25">
      <c r="A133" s="59" t="str">
        <f t="shared" ref="A133:A196" si="9">VLOOKUP(B133,$U$4:$V$223,2,FALSE)</f>
        <v>420   ДНИР   Департамент научно исследовательской работы</v>
      </c>
      <c r="B133" s="82">
        <v>114300122</v>
      </c>
      <c r="C133" s="59" t="s">
        <v>509</v>
      </c>
      <c r="D133" s="83">
        <f t="shared" ref="D133:D196" si="10">VLOOKUP(B133,$U$4:$W$223,3,FALSE)</f>
        <v>0.60000000000000009</v>
      </c>
      <c r="E133" s="76"/>
      <c r="F133" s="69"/>
      <c r="G133" s="69"/>
      <c r="H133" s="69"/>
      <c r="I133" s="69"/>
      <c r="J133" s="69"/>
      <c r="K133" s="69"/>
      <c r="L133" s="69"/>
      <c r="M133" s="69"/>
      <c r="N133" s="69"/>
      <c r="O133" s="63"/>
      <c r="P133" s="63"/>
      <c r="Q133" s="63"/>
      <c r="R133" s="61" t="b">
        <f t="shared" si="8"/>
        <v>1</v>
      </c>
      <c r="U133" s="59">
        <v>114300123</v>
      </c>
      <c r="V133" s="59" t="s">
        <v>613</v>
      </c>
      <c r="W133" s="59">
        <v>0.75</v>
      </c>
    </row>
    <row r="134" spans="1:23" s="61" customFormat="1" ht="45.75" customHeight="1" x14ac:dyDescent="0.25">
      <c r="A134" s="59" t="str">
        <f t="shared" si="9"/>
        <v>420   ДНИР   Департамент научно исследовательской работы</v>
      </c>
      <c r="B134" s="82">
        <v>114300123</v>
      </c>
      <c r="C134" s="59" t="s">
        <v>510</v>
      </c>
      <c r="D134" s="83">
        <f t="shared" si="10"/>
        <v>0.75</v>
      </c>
      <c r="E134" s="76"/>
      <c r="F134" s="69"/>
      <c r="G134" s="69"/>
      <c r="H134" s="69"/>
      <c r="I134" s="69"/>
      <c r="J134" s="69"/>
      <c r="K134" s="69"/>
      <c r="L134" s="69"/>
      <c r="M134" s="69"/>
      <c r="N134" s="69"/>
      <c r="O134" s="63"/>
      <c r="P134" s="63"/>
      <c r="Q134" s="63"/>
      <c r="R134" s="61" t="b">
        <f t="shared" si="8"/>
        <v>1</v>
      </c>
      <c r="U134" s="59">
        <v>114300124</v>
      </c>
      <c r="V134" s="59" t="s">
        <v>613</v>
      </c>
      <c r="W134" s="59">
        <v>0.2</v>
      </c>
    </row>
    <row r="135" spans="1:23" s="61" customFormat="1" ht="45.75" customHeight="1" x14ac:dyDescent="0.25">
      <c r="A135" s="59" t="str">
        <f t="shared" si="9"/>
        <v>420   ДНИР   Департамент научно исследовательской работы</v>
      </c>
      <c r="B135" s="82">
        <v>114300124</v>
      </c>
      <c r="C135" s="59" t="s">
        <v>511</v>
      </c>
      <c r="D135" s="83">
        <f t="shared" si="10"/>
        <v>0.2</v>
      </c>
      <c r="E135" s="76"/>
      <c r="F135" s="69"/>
      <c r="G135" s="69"/>
      <c r="H135" s="69"/>
      <c r="I135" s="69"/>
      <c r="J135" s="69"/>
      <c r="K135" s="69"/>
      <c r="L135" s="69"/>
      <c r="M135" s="69"/>
      <c r="N135" s="69"/>
      <c r="O135" s="63"/>
      <c r="P135" s="63"/>
      <c r="Q135" s="63"/>
      <c r="R135" s="61" t="b">
        <f t="shared" si="8"/>
        <v>1</v>
      </c>
      <c r="U135" s="59">
        <v>114300125</v>
      </c>
      <c r="V135" s="59" t="s">
        <v>613</v>
      </c>
      <c r="W135" s="59">
        <v>0.20000000000000007</v>
      </c>
    </row>
    <row r="136" spans="1:23" s="61" customFormat="1" ht="45.75" customHeight="1" x14ac:dyDescent="0.25">
      <c r="A136" s="59" t="str">
        <f t="shared" si="9"/>
        <v>420   ДНИР   Департамент научно исследовательской работы</v>
      </c>
      <c r="B136" s="82">
        <v>114300125</v>
      </c>
      <c r="C136" s="59" t="s">
        <v>270</v>
      </c>
      <c r="D136" s="83">
        <f t="shared" si="10"/>
        <v>0.20000000000000007</v>
      </c>
      <c r="E136" s="76"/>
      <c r="F136" s="69"/>
      <c r="G136" s="69"/>
      <c r="H136" s="69"/>
      <c r="I136" s="69"/>
      <c r="J136" s="69"/>
      <c r="K136" s="69"/>
      <c r="L136" s="69"/>
      <c r="M136" s="69"/>
      <c r="N136" s="69"/>
      <c r="O136" s="63"/>
      <c r="P136" s="63"/>
      <c r="Q136" s="63"/>
      <c r="R136" s="61" t="b">
        <f t="shared" si="8"/>
        <v>1</v>
      </c>
      <c r="U136" s="59">
        <v>114300126</v>
      </c>
      <c r="V136" s="59" t="s">
        <v>613</v>
      </c>
      <c r="W136" s="59">
        <v>1.9</v>
      </c>
    </row>
    <row r="137" spans="1:23" s="61" customFormat="1" ht="45.75" customHeight="1" x14ac:dyDescent="0.25">
      <c r="A137" s="59" t="str">
        <f t="shared" si="9"/>
        <v>420   ДНИР   Департамент научно исследовательской работы</v>
      </c>
      <c r="B137" s="82">
        <v>114300126</v>
      </c>
      <c r="C137" s="59" t="s">
        <v>512</v>
      </c>
      <c r="D137" s="83">
        <f t="shared" si="10"/>
        <v>1.9</v>
      </c>
      <c r="E137" s="76"/>
      <c r="F137" s="69"/>
      <c r="G137" s="69"/>
      <c r="H137" s="69"/>
      <c r="I137" s="69"/>
      <c r="J137" s="69"/>
      <c r="K137" s="69"/>
      <c r="L137" s="69"/>
      <c r="M137" s="69"/>
      <c r="N137" s="69"/>
      <c r="O137" s="63"/>
      <c r="P137" s="63"/>
      <c r="Q137" s="63"/>
      <c r="R137" s="61" t="b">
        <f t="shared" si="8"/>
        <v>1</v>
      </c>
      <c r="U137" s="59">
        <v>114300127</v>
      </c>
      <c r="V137" s="59" t="s">
        <v>613</v>
      </c>
      <c r="W137" s="59">
        <v>0.35</v>
      </c>
    </row>
    <row r="138" spans="1:23" s="61" customFormat="1" ht="45.75" customHeight="1" x14ac:dyDescent="0.25">
      <c r="A138" s="59" t="str">
        <f t="shared" si="9"/>
        <v>420   ДНИР   Департамент научно исследовательской работы</v>
      </c>
      <c r="B138" s="82">
        <v>114300127</v>
      </c>
      <c r="C138" s="59" t="s">
        <v>513</v>
      </c>
      <c r="D138" s="83">
        <f t="shared" si="10"/>
        <v>0.35</v>
      </c>
      <c r="E138" s="76"/>
      <c r="F138" s="69"/>
      <c r="G138" s="69"/>
      <c r="H138" s="69"/>
      <c r="I138" s="69"/>
      <c r="J138" s="69"/>
      <c r="K138" s="69"/>
      <c r="L138" s="69"/>
      <c r="M138" s="69"/>
      <c r="N138" s="69"/>
      <c r="O138" s="63"/>
      <c r="P138" s="63"/>
      <c r="Q138" s="63"/>
      <c r="R138" s="61" t="b">
        <f t="shared" si="8"/>
        <v>1</v>
      </c>
      <c r="U138" s="59">
        <v>114300128</v>
      </c>
      <c r="V138" s="59" t="s">
        <v>613</v>
      </c>
      <c r="W138" s="59">
        <v>1.25</v>
      </c>
    </row>
    <row r="139" spans="1:23" s="61" customFormat="1" ht="45.75" customHeight="1" x14ac:dyDescent="0.25">
      <c r="A139" s="59" t="str">
        <f t="shared" si="9"/>
        <v>420   ДНИР   Департамент научно исследовательской работы</v>
      </c>
      <c r="B139" s="82">
        <v>114300128</v>
      </c>
      <c r="C139" s="59" t="s">
        <v>514</v>
      </c>
      <c r="D139" s="83">
        <f t="shared" si="10"/>
        <v>1.25</v>
      </c>
      <c r="E139" s="76"/>
      <c r="F139" s="69"/>
      <c r="G139" s="69"/>
      <c r="H139" s="69"/>
      <c r="I139" s="69"/>
      <c r="J139" s="69"/>
      <c r="K139" s="69"/>
      <c r="L139" s="69"/>
      <c r="M139" s="69"/>
      <c r="N139" s="69"/>
      <c r="O139" s="63"/>
      <c r="P139" s="63"/>
      <c r="Q139" s="63"/>
      <c r="R139" s="61" t="b">
        <f t="shared" si="8"/>
        <v>1</v>
      </c>
      <c r="U139" s="59">
        <v>114300129</v>
      </c>
      <c r="V139" s="59" t="s">
        <v>613</v>
      </c>
      <c r="W139" s="59">
        <v>0.44999999999999996</v>
      </c>
    </row>
    <row r="140" spans="1:23" s="61" customFormat="1" ht="45.75" customHeight="1" x14ac:dyDescent="0.25">
      <c r="A140" s="59" t="str">
        <f t="shared" si="9"/>
        <v>420   ДНИР   Департамент научно исследовательской работы</v>
      </c>
      <c r="B140" s="82">
        <v>114300129</v>
      </c>
      <c r="C140" s="59" t="s">
        <v>515</v>
      </c>
      <c r="D140" s="83">
        <f t="shared" si="10"/>
        <v>0.44999999999999996</v>
      </c>
      <c r="E140" s="76"/>
      <c r="F140" s="69"/>
      <c r="G140" s="69"/>
      <c r="H140" s="69"/>
      <c r="I140" s="69"/>
      <c r="J140" s="69"/>
      <c r="K140" s="69"/>
      <c r="L140" s="69"/>
      <c r="M140" s="69"/>
      <c r="N140" s="69"/>
      <c r="O140" s="63"/>
      <c r="P140" s="63"/>
      <c r="Q140" s="63"/>
      <c r="R140" s="61" t="b">
        <f t="shared" si="8"/>
        <v>1</v>
      </c>
      <c r="U140" s="59">
        <v>114300130</v>
      </c>
      <c r="V140" s="59" t="s">
        <v>613</v>
      </c>
      <c r="W140" s="59">
        <v>0.30000000000000004</v>
      </c>
    </row>
    <row r="141" spans="1:23" s="61" customFormat="1" ht="45.75" customHeight="1" x14ac:dyDescent="0.25">
      <c r="A141" s="59" t="str">
        <f t="shared" si="9"/>
        <v>420   ДНИР   Департамент научно исследовательской работы</v>
      </c>
      <c r="B141" s="82">
        <v>114300130</v>
      </c>
      <c r="C141" s="59" t="s">
        <v>280</v>
      </c>
      <c r="D141" s="83">
        <f t="shared" si="10"/>
        <v>0.30000000000000004</v>
      </c>
      <c r="E141" s="76"/>
      <c r="F141" s="69"/>
      <c r="G141" s="69"/>
      <c r="H141" s="69"/>
      <c r="I141" s="69"/>
      <c r="J141" s="69"/>
      <c r="K141" s="69"/>
      <c r="L141" s="69"/>
      <c r="M141" s="69"/>
      <c r="N141" s="69"/>
      <c r="O141" s="63"/>
      <c r="P141" s="63"/>
      <c r="Q141" s="63"/>
      <c r="R141" s="61" t="b">
        <f t="shared" si="8"/>
        <v>1</v>
      </c>
      <c r="U141" s="59">
        <v>114300131</v>
      </c>
      <c r="V141" s="59" t="s">
        <v>613</v>
      </c>
      <c r="W141" s="59">
        <v>0.19999999999999998</v>
      </c>
    </row>
    <row r="142" spans="1:23" s="61" customFormat="1" ht="45.75" customHeight="1" x14ac:dyDescent="0.25">
      <c r="A142" s="59" t="str">
        <f t="shared" si="9"/>
        <v>420   ДНИР   Департамент научно исследовательской работы</v>
      </c>
      <c r="B142" s="82">
        <v>114300131</v>
      </c>
      <c r="C142" s="59" t="s">
        <v>516</v>
      </c>
      <c r="D142" s="83">
        <f t="shared" si="10"/>
        <v>0.19999999999999998</v>
      </c>
      <c r="E142" s="76"/>
      <c r="F142" s="69"/>
      <c r="G142" s="69"/>
      <c r="H142" s="69"/>
      <c r="I142" s="69"/>
      <c r="J142" s="69"/>
      <c r="K142" s="69"/>
      <c r="L142" s="69"/>
      <c r="M142" s="69"/>
      <c r="N142" s="69"/>
      <c r="O142" s="63"/>
      <c r="P142" s="63"/>
      <c r="Q142" s="63"/>
      <c r="R142" s="61" t="b">
        <f t="shared" si="8"/>
        <v>1</v>
      </c>
      <c r="U142" s="59">
        <v>1143002</v>
      </c>
      <c r="V142" s="59" t="s">
        <v>613</v>
      </c>
      <c r="W142" s="59">
        <v>1.5</v>
      </c>
    </row>
    <row r="143" spans="1:23" s="61" customFormat="1" ht="45.75" customHeight="1" x14ac:dyDescent="0.25">
      <c r="A143" s="59" t="str">
        <f t="shared" si="9"/>
        <v>420   ДНИР   Департамент научно исследовательской работы</v>
      </c>
      <c r="B143" s="82">
        <v>1143002</v>
      </c>
      <c r="C143" s="59" t="s">
        <v>517</v>
      </c>
      <c r="D143" s="83">
        <f t="shared" si="10"/>
        <v>1.5</v>
      </c>
      <c r="E143" s="76"/>
      <c r="F143" s="69"/>
      <c r="G143" s="69"/>
      <c r="H143" s="69"/>
      <c r="I143" s="69"/>
      <c r="J143" s="69"/>
      <c r="K143" s="69"/>
      <c r="L143" s="69"/>
      <c r="M143" s="69"/>
      <c r="N143" s="69"/>
      <c r="O143" s="59"/>
      <c r="P143" s="59"/>
      <c r="Q143" s="59"/>
      <c r="R143" s="61" t="b">
        <f t="shared" si="8"/>
        <v>1</v>
      </c>
      <c r="U143" s="59">
        <v>1143003</v>
      </c>
      <c r="V143" s="59" t="s">
        <v>613</v>
      </c>
      <c r="W143" s="59">
        <v>3.5</v>
      </c>
    </row>
    <row r="144" spans="1:23" s="61" customFormat="1" ht="45.75" customHeight="1" x14ac:dyDescent="0.25">
      <c r="A144" s="59" t="str">
        <f t="shared" si="9"/>
        <v>420   ДНИР   Департамент научно исследовательской работы</v>
      </c>
      <c r="B144" s="82">
        <v>1143003</v>
      </c>
      <c r="C144" s="59" t="s">
        <v>518</v>
      </c>
      <c r="D144" s="83">
        <f t="shared" si="10"/>
        <v>3.5</v>
      </c>
      <c r="E144" s="76"/>
      <c r="F144" s="69"/>
      <c r="G144" s="69"/>
      <c r="H144" s="69"/>
      <c r="I144" s="69"/>
      <c r="J144" s="69"/>
      <c r="K144" s="69"/>
      <c r="L144" s="69"/>
      <c r="M144" s="69"/>
      <c r="N144" s="69"/>
      <c r="O144" s="63"/>
      <c r="P144" s="63"/>
      <c r="Q144" s="63"/>
      <c r="R144" s="61" t="b">
        <f t="shared" si="8"/>
        <v>1</v>
      </c>
      <c r="U144" s="59">
        <v>1143004</v>
      </c>
      <c r="V144" s="59" t="s">
        <v>613</v>
      </c>
      <c r="W144" s="59">
        <v>4.7</v>
      </c>
    </row>
    <row r="145" spans="1:23" s="61" customFormat="1" ht="45.75" customHeight="1" x14ac:dyDescent="0.25">
      <c r="A145" s="59" t="str">
        <f t="shared" si="9"/>
        <v>420   ДНИР   Департамент научно исследовательской работы</v>
      </c>
      <c r="B145" s="82">
        <v>1143004</v>
      </c>
      <c r="C145" s="59" t="s">
        <v>519</v>
      </c>
      <c r="D145" s="83">
        <f t="shared" si="10"/>
        <v>4.7</v>
      </c>
      <c r="E145" s="76"/>
      <c r="F145" s="69"/>
      <c r="G145" s="69"/>
      <c r="H145" s="69"/>
      <c r="I145" s="69"/>
      <c r="J145" s="69"/>
      <c r="K145" s="69"/>
      <c r="L145" s="69"/>
      <c r="M145" s="69"/>
      <c r="N145" s="69"/>
      <c r="O145" s="63"/>
      <c r="P145" s="63"/>
      <c r="Q145" s="63"/>
      <c r="R145" s="61" t="b">
        <f t="shared" si="8"/>
        <v>1</v>
      </c>
      <c r="U145" s="59">
        <v>1143005</v>
      </c>
      <c r="V145" s="59" t="s">
        <v>613</v>
      </c>
      <c r="W145" s="59">
        <v>2</v>
      </c>
    </row>
    <row r="146" spans="1:23" s="61" customFormat="1" ht="45.75" customHeight="1" x14ac:dyDescent="0.25">
      <c r="A146" s="59" t="str">
        <f t="shared" si="9"/>
        <v>420   ДНИР   Департамент научно исследовательской работы</v>
      </c>
      <c r="B146" s="82">
        <v>1143005</v>
      </c>
      <c r="C146" s="59" t="s">
        <v>520</v>
      </c>
      <c r="D146" s="83">
        <f t="shared" si="10"/>
        <v>2</v>
      </c>
      <c r="E146" s="76"/>
      <c r="F146" s="69"/>
      <c r="G146" s="69"/>
      <c r="H146" s="69"/>
      <c r="I146" s="69"/>
      <c r="J146" s="69"/>
      <c r="K146" s="69"/>
      <c r="L146" s="69"/>
      <c r="M146" s="69"/>
      <c r="N146" s="69"/>
      <c r="O146" s="63"/>
      <c r="P146" s="63"/>
      <c r="Q146" s="63"/>
      <c r="R146" s="61" t="b">
        <f t="shared" si="8"/>
        <v>1</v>
      </c>
      <c r="U146" s="59">
        <v>11440</v>
      </c>
      <c r="V146" s="59" t="s">
        <v>614</v>
      </c>
      <c r="W146" s="59">
        <v>4.0999999999999996</v>
      </c>
    </row>
    <row r="147" spans="1:23" s="61" customFormat="1" ht="45.75" customHeight="1" x14ac:dyDescent="0.25">
      <c r="A147" s="59" t="str">
        <f t="shared" si="9"/>
        <v>830   ДМКД   Департамент международной и культурной деятельности</v>
      </c>
      <c r="B147" s="82">
        <v>11440</v>
      </c>
      <c r="C147" s="59" t="s">
        <v>521</v>
      </c>
      <c r="D147" s="83">
        <f t="shared" si="10"/>
        <v>4.0999999999999996</v>
      </c>
      <c r="E147" s="76"/>
      <c r="F147" s="69"/>
      <c r="G147" s="69"/>
      <c r="H147" s="69"/>
      <c r="I147" s="69"/>
      <c r="J147" s="69"/>
      <c r="K147" s="69"/>
      <c r="L147" s="69"/>
      <c r="M147" s="69"/>
      <c r="N147" s="69"/>
      <c r="O147" s="63"/>
      <c r="P147" s="63"/>
      <c r="Q147" s="63"/>
      <c r="R147" s="61" t="b">
        <f t="shared" si="8"/>
        <v>1</v>
      </c>
      <c r="U147" s="59">
        <v>1144001</v>
      </c>
      <c r="V147" s="59" t="s">
        <v>614</v>
      </c>
      <c r="W147" s="59">
        <v>3</v>
      </c>
    </row>
    <row r="148" spans="1:23" s="61" customFormat="1" ht="45.75" customHeight="1" x14ac:dyDescent="0.25">
      <c r="A148" s="59" t="str">
        <f t="shared" si="9"/>
        <v>830   ДМКД   Департамент международной и культурной деятельности</v>
      </c>
      <c r="B148" s="82">
        <v>1144001</v>
      </c>
      <c r="C148" s="59" t="s">
        <v>522</v>
      </c>
      <c r="D148" s="83">
        <f t="shared" si="10"/>
        <v>3</v>
      </c>
      <c r="E148" s="76"/>
      <c r="F148" s="69"/>
      <c r="G148" s="69"/>
      <c r="H148" s="69"/>
      <c r="I148" s="69"/>
      <c r="J148" s="69"/>
      <c r="K148" s="69"/>
      <c r="L148" s="69"/>
      <c r="M148" s="69"/>
      <c r="N148" s="69"/>
      <c r="O148" s="63"/>
      <c r="P148" s="63"/>
      <c r="Q148" s="63"/>
      <c r="R148" s="61" t="b">
        <f t="shared" si="8"/>
        <v>1</v>
      </c>
      <c r="U148" s="59">
        <v>1144002</v>
      </c>
      <c r="V148" s="59" t="s">
        <v>614</v>
      </c>
      <c r="W148" s="59">
        <v>5</v>
      </c>
    </row>
    <row r="149" spans="1:23" s="61" customFormat="1" ht="45.75" customHeight="1" x14ac:dyDescent="0.25">
      <c r="A149" s="59" t="str">
        <f t="shared" si="9"/>
        <v>830   ДМКД   Департамент международной и культурной деятельности</v>
      </c>
      <c r="B149" s="82">
        <v>1144002</v>
      </c>
      <c r="C149" s="59" t="s">
        <v>523</v>
      </c>
      <c r="D149" s="83">
        <f t="shared" si="10"/>
        <v>5</v>
      </c>
      <c r="E149" s="76"/>
      <c r="F149" s="69"/>
      <c r="G149" s="69"/>
      <c r="H149" s="69"/>
      <c r="I149" s="69"/>
      <c r="J149" s="69"/>
      <c r="K149" s="69"/>
      <c r="L149" s="69"/>
      <c r="M149" s="69"/>
      <c r="N149" s="69"/>
      <c r="O149" s="63"/>
      <c r="P149" s="63"/>
      <c r="Q149" s="63"/>
      <c r="R149" s="61" t="b">
        <f t="shared" si="8"/>
        <v>1</v>
      </c>
      <c r="U149" s="59">
        <v>1144003</v>
      </c>
      <c r="V149" s="59" t="s">
        <v>614</v>
      </c>
      <c r="W149" s="59">
        <v>4</v>
      </c>
    </row>
    <row r="150" spans="1:23" s="61" customFormat="1" ht="45.75" customHeight="1" x14ac:dyDescent="0.25">
      <c r="A150" s="59" t="str">
        <f t="shared" si="9"/>
        <v>830   ДМКД   Департамент международной и культурной деятельности</v>
      </c>
      <c r="B150" s="82">
        <v>1144003</v>
      </c>
      <c r="C150" s="59" t="s">
        <v>524</v>
      </c>
      <c r="D150" s="83">
        <f t="shared" si="10"/>
        <v>4</v>
      </c>
      <c r="E150" s="76"/>
      <c r="F150" s="69"/>
      <c r="G150" s="69"/>
      <c r="H150" s="69"/>
      <c r="I150" s="69"/>
      <c r="J150" s="69"/>
      <c r="K150" s="69"/>
      <c r="L150" s="69"/>
      <c r="M150" s="69"/>
      <c r="N150" s="69"/>
      <c r="O150" s="63"/>
      <c r="P150" s="63"/>
      <c r="Q150" s="63"/>
      <c r="R150" s="61" t="b">
        <f t="shared" si="8"/>
        <v>1</v>
      </c>
      <c r="U150" s="59">
        <v>1144004</v>
      </c>
      <c r="V150" s="59" t="s">
        <v>614</v>
      </c>
      <c r="W150" s="59">
        <v>0.25</v>
      </c>
    </row>
    <row r="151" spans="1:23" s="61" customFormat="1" ht="45.75" customHeight="1" x14ac:dyDescent="0.25">
      <c r="A151" s="59" t="str">
        <f t="shared" si="9"/>
        <v>830   ДМКД   Департамент международной и культурной деятельности</v>
      </c>
      <c r="B151" s="82">
        <v>1144004</v>
      </c>
      <c r="C151" s="59" t="s">
        <v>525</v>
      </c>
      <c r="D151" s="83">
        <f t="shared" si="10"/>
        <v>0.25</v>
      </c>
      <c r="E151" s="76"/>
      <c r="F151" s="69"/>
      <c r="G151" s="69"/>
      <c r="H151" s="69"/>
      <c r="I151" s="69"/>
      <c r="J151" s="69"/>
      <c r="K151" s="69"/>
      <c r="L151" s="69"/>
      <c r="M151" s="69"/>
      <c r="N151" s="69"/>
      <c r="O151" s="63"/>
      <c r="P151" s="63"/>
      <c r="Q151" s="63"/>
      <c r="R151" s="61" t="b">
        <f t="shared" si="8"/>
        <v>1</v>
      </c>
      <c r="U151" s="59">
        <v>1144006</v>
      </c>
      <c r="V151" s="59" t="s">
        <v>614</v>
      </c>
      <c r="W151" s="59">
        <v>1</v>
      </c>
    </row>
    <row r="152" spans="1:23" s="61" customFormat="1" ht="30" customHeight="1" x14ac:dyDescent="0.25">
      <c r="A152" s="59" t="str">
        <f t="shared" si="9"/>
        <v>830   ДМКД   Департамент международной и культурной деятельности</v>
      </c>
      <c r="B152" s="82">
        <v>1144006</v>
      </c>
      <c r="C152" s="59" t="s">
        <v>300</v>
      </c>
      <c r="D152" s="83">
        <f t="shared" si="10"/>
        <v>1</v>
      </c>
      <c r="E152" s="76"/>
      <c r="F152" s="69"/>
      <c r="G152" s="69"/>
      <c r="H152" s="69"/>
      <c r="I152" s="69"/>
      <c r="J152" s="69"/>
      <c r="K152" s="69"/>
      <c r="L152" s="69"/>
      <c r="M152" s="69"/>
      <c r="N152" s="69"/>
      <c r="O152" s="63"/>
      <c r="P152" s="63"/>
      <c r="Q152" s="63"/>
      <c r="R152" s="61" t="b">
        <f t="shared" si="8"/>
        <v>1</v>
      </c>
      <c r="U152" s="59">
        <v>11470</v>
      </c>
      <c r="V152" s="59" t="s">
        <v>615</v>
      </c>
      <c r="W152" s="59">
        <v>3</v>
      </c>
    </row>
    <row r="153" spans="1:23" s="61" customFormat="1" ht="45.75" customHeight="1" x14ac:dyDescent="0.25">
      <c r="A153" s="59" t="str">
        <f t="shared" si="9"/>
        <v>230   Учебно сварочный центр</v>
      </c>
      <c r="B153" s="82">
        <v>11470</v>
      </c>
      <c r="C153" s="59" t="s">
        <v>526</v>
      </c>
      <c r="D153" s="83">
        <f t="shared" si="10"/>
        <v>3</v>
      </c>
      <c r="E153" s="76"/>
      <c r="F153" s="69"/>
      <c r="G153" s="69"/>
      <c r="H153" s="69"/>
      <c r="I153" s="69"/>
      <c r="J153" s="69"/>
      <c r="K153" s="69"/>
      <c r="L153" s="69"/>
      <c r="M153" s="69"/>
      <c r="N153" s="69"/>
      <c r="O153" s="63"/>
      <c r="P153" s="63"/>
      <c r="Q153" s="63"/>
      <c r="R153" s="61" t="b">
        <f t="shared" si="8"/>
        <v>1</v>
      </c>
      <c r="U153" s="59">
        <v>115</v>
      </c>
      <c r="V153" s="59" t="s">
        <v>616</v>
      </c>
      <c r="W153" s="59">
        <v>1</v>
      </c>
    </row>
    <row r="154" spans="1:23" s="61" customFormat="1" ht="33" customHeight="1" x14ac:dyDescent="0.25">
      <c r="A154" s="59" t="str">
        <f t="shared" si="9"/>
        <v>004   Проректор по цифровому развитию и информационной политике</v>
      </c>
      <c r="B154" s="82">
        <v>115</v>
      </c>
      <c r="C154" s="59" t="s">
        <v>527</v>
      </c>
      <c r="D154" s="83">
        <f t="shared" si="10"/>
        <v>1</v>
      </c>
      <c r="E154" s="76"/>
      <c r="F154" s="69"/>
      <c r="G154" s="69"/>
      <c r="H154" s="69"/>
      <c r="I154" s="69"/>
      <c r="J154" s="69"/>
      <c r="K154" s="69"/>
      <c r="L154" s="69"/>
      <c r="M154" s="69"/>
      <c r="N154" s="69"/>
      <c r="O154" s="63"/>
      <c r="P154" s="63"/>
      <c r="Q154" s="63"/>
      <c r="R154" s="61" t="b">
        <f t="shared" si="8"/>
        <v>1</v>
      </c>
      <c r="U154" s="59">
        <v>115001</v>
      </c>
      <c r="V154" s="59" t="s">
        <v>617</v>
      </c>
      <c r="W154" s="59">
        <v>2</v>
      </c>
    </row>
    <row r="155" spans="1:23" s="61" customFormat="1" ht="39" customHeight="1" x14ac:dyDescent="0.25">
      <c r="A155" s="59" t="str">
        <f t="shared" si="9"/>
        <v>700   ДЦР   Департамент цифрового развития</v>
      </c>
      <c r="B155" s="82">
        <v>115001</v>
      </c>
      <c r="C155" s="59" t="s">
        <v>528</v>
      </c>
      <c r="D155" s="83">
        <f t="shared" si="10"/>
        <v>2</v>
      </c>
      <c r="E155" s="76"/>
      <c r="F155" s="69"/>
      <c r="G155" s="69"/>
      <c r="H155" s="69"/>
      <c r="I155" s="69"/>
      <c r="J155" s="69"/>
      <c r="K155" s="69"/>
      <c r="L155" s="69"/>
      <c r="M155" s="69"/>
      <c r="N155" s="69"/>
      <c r="O155" s="63"/>
      <c r="P155" s="63"/>
      <c r="Q155" s="63"/>
      <c r="R155" s="61" t="b">
        <f t="shared" si="8"/>
        <v>1</v>
      </c>
      <c r="U155" s="59">
        <v>1150011</v>
      </c>
      <c r="V155" s="59" t="s">
        <v>617</v>
      </c>
      <c r="W155" s="59">
        <v>3</v>
      </c>
    </row>
    <row r="156" spans="1:23" s="61" customFormat="1" ht="39" customHeight="1" x14ac:dyDescent="0.25">
      <c r="A156" s="59" t="str">
        <f t="shared" si="9"/>
        <v>700   ДЦР   Департамент цифрового развития</v>
      </c>
      <c r="B156" s="82">
        <v>1150011</v>
      </c>
      <c r="C156" s="59" t="s">
        <v>529</v>
      </c>
      <c r="D156" s="83">
        <f t="shared" si="10"/>
        <v>3</v>
      </c>
      <c r="E156" s="76"/>
      <c r="F156" s="69"/>
      <c r="G156" s="69"/>
      <c r="H156" s="69"/>
      <c r="I156" s="69"/>
      <c r="J156" s="69"/>
      <c r="K156" s="69"/>
      <c r="L156" s="69"/>
      <c r="M156" s="69"/>
      <c r="N156" s="69"/>
      <c r="O156" s="63"/>
      <c r="P156" s="63"/>
      <c r="Q156" s="63"/>
      <c r="R156" s="61" t="b">
        <f t="shared" si="8"/>
        <v>1</v>
      </c>
      <c r="U156" s="59">
        <v>1150014</v>
      </c>
      <c r="V156" s="59" t="s">
        <v>617</v>
      </c>
      <c r="W156" s="59">
        <v>6</v>
      </c>
    </row>
    <row r="157" spans="1:23" s="61" customFormat="1" ht="39" customHeight="1" x14ac:dyDescent="0.25">
      <c r="A157" s="59" t="str">
        <f t="shared" si="9"/>
        <v>700   ДЦР   Департамент цифрового развития</v>
      </c>
      <c r="B157" s="82">
        <v>1150014</v>
      </c>
      <c r="C157" s="59" t="s">
        <v>530</v>
      </c>
      <c r="D157" s="83">
        <f t="shared" si="10"/>
        <v>6</v>
      </c>
      <c r="E157" s="76"/>
      <c r="F157" s="69"/>
      <c r="G157" s="69"/>
      <c r="H157" s="69"/>
      <c r="I157" s="69"/>
      <c r="J157" s="69"/>
      <c r="K157" s="69"/>
      <c r="L157" s="69"/>
      <c r="M157" s="69"/>
      <c r="N157" s="69"/>
      <c r="O157" s="63"/>
      <c r="P157" s="63"/>
      <c r="Q157" s="63"/>
      <c r="R157" s="61" t="b">
        <f t="shared" si="8"/>
        <v>1</v>
      </c>
      <c r="U157" s="59">
        <v>115001401</v>
      </c>
      <c r="V157" s="59" t="s">
        <v>617</v>
      </c>
      <c r="W157" s="59">
        <v>1</v>
      </c>
    </row>
    <row r="158" spans="1:23" s="61" customFormat="1" ht="39" customHeight="1" x14ac:dyDescent="0.25">
      <c r="A158" s="59" t="str">
        <f t="shared" si="9"/>
        <v>700   ДЦР   Департамент цифрового развития</v>
      </c>
      <c r="B158" s="82">
        <v>115001401</v>
      </c>
      <c r="C158" s="59" t="s">
        <v>315</v>
      </c>
      <c r="D158" s="83">
        <f t="shared" si="10"/>
        <v>1</v>
      </c>
      <c r="E158" s="76"/>
      <c r="F158" s="69"/>
      <c r="G158" s="69"/>
      <c r="H158" s="69"/>
      <c r="I158" s="69"/>
      <c r="J158" s="69"/>
      <c r="K158" s="69"/>
      <c r="L158" s="69"/>
      <c r="M158" s="69"/>
      <c r="N158" s="69"/>
      <c r="O158" s="63"/>
      <c r="P158" s="63"/>
      <c r="Q158" s="63"/>
      <c r="R158" s="61" t="b">
        <f t="shared" si="8"/>
        <v>1</v>
      </c>
      <c r="U158" s="59">
        <v>115001402</v>
      </c>
      <c r="V158" s="59" t="s">
        <v>617</v>
      </c>
      <c r="W158" s="59">
        <v>6.5</v>
      </c>
    </row>
    <row r="159" spans="1:23" s="61" customFormat="1" ht="39" customHeight="1" x14ac:dyDescent="0.25">
      <c r="A159" s="59" t="str">
        <f t="shared" si="9"/>
        <v>700   ДЦР   Департамент цифрового развития</v>
      </c>
      <c r="B159" s="82">
        <v>115001402</v>
      </c>
      <c r="C159" s="59" t="s">
        <v>531</v>
      </c>
      <c r="D159" s="83">
        <f t="shared" si="10"/>
        <v>6.5</v>
      </c>
      <c r="E159" s="76"/>
      <c r="F159" s="69"/>
      <c r="G159" s="69"/>
      <c r="H159" s="69"/>
      <c r="I159" s="69"/>
      <c r="J159" s="69"/>
      <c r="K159" s="69"/>
      <c r="L159" s="69"/>
      <c r="M159" s="69"/>
      <c r="N159" s="69"/>
      <c r="O159" s="63"/>
      <c r="P159" s="63"/>
      <c r="Q159" s="63"/>
      <c r="R159" s="61" t="b">
        <f t="shared" si="8"/>
        <v>1</v>
      </c>
      <c r="U159" s="59">
        <v>1150016</v>
      </c>
      <c r="V159" s="59" t="s">
        <v>617</v>
      </c>
      <c r="W159" s="59">
        <v>4</v>
      </c>
    </row>
    <row r="160" spans="1:23" s="61" customFormat="1" ht="39" customHeight="1" x14ac:dyDescent="0.25">
      <c r="A160" s="59" t="str">
        <f t="shared" si="9"/>
        <v>700   ДЦР   Департамент цифрового развития</v>
      </c>
      <c r="B160" s="82">
        <v>1150016</v>
      </c>
      <c r="C160" s="59" t="s">
        <v>334</v>
      </c>
      <c r="D160" s="83">
        <f t="shared" si="10"/>
        <v>4</v>
      </c>
      <c r="E160" s="76"/>
      <c r="F160" s="69"/>
      <c r="G160" s="69"/>
      <c r="H160" s="69"/>
      <c r="I160" s="69"/>
      <c r="J160" s="69"/>
      <c r="K160" s="69"/>
      <c r="L160" s="69"/>
      <c r="M160" s="69"/>
      <c r="N160" s="69"/>
      <c r="O160" s="63"/>
      <c r="P160" s="63"/>
      <c r="Q160" s="63"/>
      <c r="R160" s="61" t="b">
        <f t="shared" si="8"/>
        <v>1</v>
      </c>
      <c r="U160" s="59">
        <v>1150017</v>
      </c>
      <c r="V160" s="59" t="s">
        <v>617</v>
      </c>
      <c r="W160" s="59">
        <v>17</v>
      </c>
    </row>
    <row r="161" spans="1:23" s="61" customFormat="1" ht="40.5" customHeight="1" x14ac:dyDescent="0.25">
      <c r="A161" s="59" t="str">
        <f t="shared" si="9"/>
        <v>700   ДЦР   Департамент цифрового развития</v>
      </c>
      <c r="B161" s="82">
        <v>1150017</v>
      </c>
      <c r="C161" s="59" t="s">
        <v>532</v>
      </c>
      <c r="D161" s="83">
        <f t="shared" si="10"/>
        <v>17</v>
      </c>
      <c r="E161" s="76"/>
      <c r="F161" s="69"/>
      <c r="G161" s="69"/>
      <c r="H161" s="69"/>
      <c r="I161" s="69"/>
      <c r="J161" s="69"/>
      <c r="K161" s="69"/>
      <c r="L161" s="69"/>
      <c r="M161" s="69"/>
      <c r="N161" s="69"/>
      <c r="O161" s="63"/>
      <c r="P161" s="63"/>
      <c r="Q161" s="63"/>
      <c r="R161" s="61" t="b">
        <f t="shared" ref="R161:R192" si="11">D162=W161</f>
        <v>1</v>
      </c>
      <c r="U161" s="59">
        <v>115002</v>
      </c>
      <c r="V161" s="59" t="s">
        <v>616</v>
      </c>
      <c r="W161" s="59">
        <v>13</v>
      </c>
    </row>
    <row r="162" spans="1:23" s="61" customFormat="1" ht="27.75" customHeight="1" x14ac:dyDescent="0.25">
      <c r="A162" s="59" t="str">
        <f t="shared" si="9"/>
        <v>004   Проректор по цифровому развитию и информационной политике</v>
      </c>
      <c r="B162" s="82">
        <v>115002</v>
      </c>
      <c r="C162" s="59" t="s">
        <v>533</v>
      </c>
      <c r="D162" s="83">
        <f t="shared" si="10"/>
        <v>13</v>
      </c>
      <c r="E162" s="76"/>
      <c r="F162" s="69"/>
      <c r="G162" s="69"/>
      <c r="H162" s="69"/>
      <c r="I162" s="69"/>
      <c r="J162" s="69"/>
      <c r="K162" s="69"/>
      <c r="L162" s="69"/>
      <c r="M162" s="69"/>
      <c r="N162" s="69"/>
      <c r="O162" s="63"/>
      <c r="P162" s="63"/>
      <c r="Q162" s="63"/>
      <c r="R162" s="61" t="b">
        <f t="shared" si="11"/>
        <v>1</v>
      </c>
      <c r="U162" s="59">
        <v>115003</v>
      </c>
      <c r="V162" s="59" t="s">
        <v>618</v>
      </c>
      <c r="W162" s="59">
        <v>1</v>
      </c>
    </row>
    <row r="163" spans="1:23" s="61" customFormat="1" ht="27.75" customHeight="1" x14ac:dyDescent="0.25">
      <c r="A163" s="59" t="str">
        <f t="shared" si="9"/>
        <v>711   ДМИП</v>
      </c>
      <c r="B163" s="82">
        <v>115003</v>
      </c>
      <c r="C163" s="59" t="s">
        <v>534</v>
      </c>
      <c r="D163" s="83">
        <f t="shared" si="10"/>
        <v>1</v>
      </c>
      <c r="E163" s="76"/>
      <c r="F163" s="69"/>
      <c r="G163" s="69"/>
      <c r="H163" s="69"/>
      <c r="I163" s="69"/>
      <c r="J163" s="69"/>
      <c r="K163" s="69"/>
      <c r="L163" s="69"/>
      <c r="M163" s="69"/>
      <c r="N163" s="69"/>
      <c r="O163" s="63"/>
      <c r="P163" s="63"/>
      <c r="Q163" s="63"/>
      <c r="R163" s="61" t="b">
        <f t="shared" si="11"/>
        <v>1</v>
      </c>
      <c r="U163" s="59">
        <v>11500301</v>
      </c>
      <c r="V163" s="59" t="s">
        <v>618</v>
      </c>
      <c r="W163" s="59">
        <v>5</v>
      </c>
    </row>
    <row r="164" spans="1:23" s="61" customFormat="1" ht="27.75" customHeight="1" x14ac:dyDescent="0.25">
      <c r="A164" s="59" t="str">
        <f t="shared" si="9"/>
        <v>711   ДМИП</v>
      </c>
      <c r="B164" s="82">
        <v>11500301</v>
      </c>
      <c r="C164" s="59" t="s">
        <v>535</v>
      </c>
      <c r="D164" s="83">
        <f t="shared" si="10"/>
        <v>5</v>
      </c>
      <c r="E164" s="76"/>
      <c r="F164" s="69"/>
      <c r="G164" s="69"/>
      <c r="H164" s="69"/>
      <c r="I164" s="69"/>
      <c r="J164" s="69"/>
      <c r="K164" s="69"/>
      <c r="L164" s="69"/>
      <c r="M164" s="69"/>
      <c r="N164" s="69"/>
      <c r="O164" s="63"/>
      <c r="P164" s="63"/>
      <c r="Q164" s="63"/>
      <c r="R164" s="61" t="b">
        <f t="shared" si="11"/>
        <v>1</v>
      </c>
      <c r="U164" s="59">
        <v>11500302</v>
      </c>
      <c r="V164" s="59" t="s">
        <v>618</v>
      </c>
      <c r="W164" s="59">
        <v>6</v>
      </c>
    </row>
    <row r="165" spans="1:23" s="61" customFormat="1" ht="27.75" customHeight="1" x14ac:dyDescent="0.25">
      <c r="A165" s="59" t="str">
        <f t="shared" si="9"/>
        <v>711   ДМИП</v>
      </c>
      <c r="B165" s="82">
        <v>11500302</v>
      </c>
      <c r="C165" s="59" t="s">
        <v>324</v>
      </c>
      <c r="D165" s="83">
        <f t="shared" si="10"/>
        <v>6</v>
      </c>
      <c r="E165" s="76"/>
      <c r="F165" s="69"/>
      <c r="G165" s="69"/>
      <c r="H165" s="69"/>
      <c r="I165" s="69"/>
      <c r="J165" s="69"/>
      <c r="K165" s="69"/>
      <c r="L165" s="69"/>
      <c r="M165" s="69"/>
      <c r="N165" s="69"/>
      <c r="O165" s="63"/>
      <c r="P165" s="63"/>
      <c r="Q165" s="63"/>
      <c r="R165" s="61" t="b">
        <f t="shared" si="11"/>
        <v>1</v>
      </c>
      <c r="U165" s="59">
        <v>11500304</v>
      </c>
      <c r="V165" s="59" t="s">
        <v>618</v>
      </c>
      <c r="W165" s="59">
        <v>9.3000000000000007</v>
      </c>
    </row>
    <row r="166" spans="1:23" s="61" customFormat="1" ht="45.75" customHeight="1" x14ac:dyDescent="0.25">
      <c r="A166" s="59" t="str">
        <f t="shared" si="9"/>
        <v>711   ДМИП</v>
      </c>
      <c r="B166" s="82">
        <v>11500304</v>
      </c>
      <c r="C166" s="59" t="s">
        <v>536</v>
      </c>
      <c r="D166" s="83">
        <f t="shared" si="10"/>
        <v>9.3000000000000007</v>
      </c>
      <c r="E166" s="76"/>
      <c r="F166" s="69"/>
      <c r="G166" s="69"/>
      <c r="H166" s="69"/>
      <c r="I166" s="69"/>
      <c r="J166" s="69"/>
      <c r="K166" s="69"/>
      <c r="L166" s="69"/>
      <c r="M166" s="69"/>
      <c r="N166" s="69"/>
      <c r="O166" s="63"/>
      <c r="P166" s="63"/>
      <c r="Q166" s="63"/>
      <c r="R166" s="61" t="b">
        <f t="shared" si="11"/>
        <v>1</v>
      </c>
      <c r="U166" s="59">
        <v>11503</v>
      </c>
      <c r="V166" s="59" t="s">
        <v>619</v>
      </c>
      <c r="W166" s="59">
        <v>4.25</v>
      </c>
    </row>
    <row r="167" spans="1:23" s="61" customFormat="1" ht="45.75" customHeight="1" x14ac:dyDescent="0.25">
      <c r="A167" s="59" t="str">
        <f t="shared" si="9"/>
        <v>850   ИБИ   Инновационный бизнес инкубатор</v>
      </c>
      <c r="B167" s="82">
        <v>11503</v>
      </c>
      <c r="C167" s="59" t="s">
        <v>537</v>
      </c>
      <c r="D167" s="83">
        <f t="shared" si="10"/>
        <v>4.25</v>
      </c>
      <c r="E167" s="76"/>
      <c r="F167" s="69"/>
      <c r="G167" s="69"/>
      <c r="H167" s="69"/>
      <c r="I167" s="69"/>
      <c r="J167" s="69"/>
      <c r="K167" s="69"/>
      <c r="L167" s="69"/>
      <c r="M167" s="69"/>
      <c r="N167" s="69"/>
      <c r="O167" s="63"/>
      <c r="P167" s="63"/>
      <c r="Q167" s="63"/>
      <c r="R167" s="61" t="b">
        <f t="shared" si="11"/>
        <v>1</v>
      </c>
      <c r="U167" s="59">
        <v>1150301</v>
      </c>
      <c r="V167" s="59" t="s">
        <v>619</v>
      </c>
      <c r="W167" s="59">
        <v>1.5</v>
      </c>
    </row>
    <row r="168" spans="1:23" s="61" customFormat="1" ht="37.5" customHeight="1" x14ac:dyDescent="0.25">
      <c r="A168" s="59" t="str">
        <f t="shared" si="9"/>
        <v>850   ИБИ   Инновационный бизнес инкубатор</v>
      </c>
      <c r="B168" s="82">
        <v>1150301</v>
      </c>
      <c r="C168" s="59" t="s">
        <v>538</v>
      </c>
      <c r="D168" s="83">
        <f t="shared" si="10"/>
        <v>1.5</v>
      </c>
      <c r="E168" s="76"/>
      <c r="F168" s="69"/>
      <c r="G168" s="69"/>
      <c r="H168" s="69"/>
      <c r="I168" s="69"/>
      <c r="J168" s="69"/>
      <c r="K168" s="69"/>
      <c r="L168" s="69"/>
      <c r="M168" s="69"/>
      <c r="N168" s="69"/>
      <c r="O168" s="63"/>
      <c r="P168" s="63"/>
      <c r="Q168" s="63"/>
      <c r="R168" s="61" t="b">
        <f t="shared" si="11"/>
        <v>1</v>
      </c>
      <c r="U168" s="59">
        <v>116</v>
      </c>
      <c r="V168" s="59" t="s">
        <v>620</v>
      </c>
      <c r="W168" s="59">
        <v>1</v>
      </c>
    </row>
    <row r="169" spans="1:23" s="61" customFormat="1" ht="37.5" customHeight="1" x14ac:dyDescent="0.25">
      <c r="A169" s="59" t="str">
        <f t="shared" si="9"/>
        <v>006   Проректор по экономической и кадровой политики</v>
      </c>
      <c r="B169" s="82">
        <v>116</v>
      </c>
      <c r="C169" s="59" t="s">
        <v>343</v>
      </c>
      <c r="D169" s="83">
        <f t="shared" si="10"/>
        <v>1</v>
      </c>
      <c r="E169" s="76"/>
      <c r="F169" s="69"/>
      <c r="G169" s="69"/>
      <c r="H169" s="69"/>
      <c r="I169" s="69"/>
      <c r="J169" s="69"/>
      <c r="K169" s="69"/>
      <c r="L169" s="69"/>
      <c r="M169" s="69"/>
      <c r="N169" s="69"/>
      <c r="O169" s="63"/>
      <c r="P169" s="63"/>
      <c r="Q169" s="63"/>
      <c r="R169" s="61" t="b">
        <f t="shared" si="11"/>
        <v>1</v>
      </c>
      <c r="U169" s="59">
        <v>11630</v>
      </c>
      <c r="V169" s="59" t="s">
        <v>621</v>
      </c>
      <c r="W169" s="59">
        <v>1</v>
      </c>
    </row>
    <row r="170" spans="1:23" s="61" customFormat="1" ht="37.5" customHeight="1" x14ac:dyDescent="0.25">
      <c r="A170" s="59" t="str">
        <f t="shared" si="9"/>
        <v>800   ДЭФ   Департамент экономики и финансов</v>
      </c>
      <c r="B170" s="82">
        <v>11630</v>
      </c>
      <c r="C170" s="59" t="s">
        <v>539</v>
      </c>
      <c r="D170" s="83">
        <f t="shared" si="10"/>
        <v>1</v>
      </c>
      <c r="E170" s="76"/>
      <c r="F170" s="69"/>
      <c r="G170" s="69"/>
      <c r="H170" s="69"/>
      <c r="I170" s="69"/>
      <c r="J170" s="69"/>
      <c r="K170" s="69"/>
      <c r="L170" s="69"/>
      <c r="M170" s="69"/>
      <c r="N170" s="69"/>
      <c r="O170" s="63"/>
      <c r="P170" s="63"/>
      <c r="Q170" s="63"/>
      <c r="R170" s="61" t="b">
        <f t="shared" si="11"/>
        <v>1</v>
      </c>
      <c r="U170" s="59">
        <v>11630001</v>
      </c>
      <c r="V170" s="59" t="s">
        <v>621</v>
      </c>
      <c r="W170" s="59">
        <v>8</v>
      </c>
    </row>
    <row r="171" spans="1:23" s="61" customFormat="1" ht="37.5" customHeight="1" x14ac:dyDescent="0.25">
      <c r="A171" s="59" t="str">
        <f t="shared" si="9"/>
        <v>800   ДЭФ   Департамент экономики и финансов</v>
      </c>
      <c r="B171" s="82">
        <v>11630001</v>
      </c>
      <c r="C171" s="59" t="s">
        <v>540</v>
      </c>
      <c r="D171" s="83">
        <f t="shared" si="10"/>
        <v>8</v>
      </c>
      <c r="E171" s="76"/>
      <c r="F171" s="69"/>
      <c r="G171" s="69"/>
      <c r="H171" s="69"/>
      <c r="I171" s="69"/>
      <c r="J171" s="69"/>
      <c r="K171" s="69"/>
      <c r="L171" s="69"/>
      <c r="M171" s="69"/>
      <c r="N171" s="69"/>
      <c r="O171" s="63"/>
      <c r="P171" s="63"/>
      <c r="Q171" s="63"/>
      <c r="R171" s="61" t="b">
        <f t="shared" si="11"/>
        <v>1</v>
      </c>
      <c r="U171" s="59">
        <v>11630002</v>
      </c>
      <c r="V171" s="59" t="s">
        <v>621</v>
      </c>
      <c r="W171" s="59">
        <v>4</v>
      </c>
    </row>
    <row r="172" spans="1:23" s="61" customFormat="1" ht="37.5" customHeight="1" x14ac:dyDescent="0.25">
      <c r="A172" s="59" t="str">
        <f t="shared" si="9"/>
        <v>800   ДЭФ   Департамент экономики и финансов</v>
      </c>
      <c r="B172" s="82">
        <v>11630002</v>
      </c>
      <c r="C172" s="59" t="s">
        <v>346</v>
      </c>
      <c r="D172" s="83">
        <f t="shared" si="10"/>
        <v>4</v>
      </c>
      <c r="E172" s="76"/>
      <c r="F172" s="69"/>
      <c r="G172" s="69"/>
      <c r="H172" s="69"/>
      <c r="I172" s="69"/>
      <c r="J172" s="69"/>
      <c r="K172" s="69"/>
      <c r="L172" s="69"/>
      <c r="M172" s="69"/>
      <c r="N172" s="69"/>
      <c r="O172" s="63"/>
      <c r="P172" s="63"/>
      <c r="Q172" s="63"/>
      <c r="R172" s="61" t="b">
        <f t="shared" si="11"/>
        <v>1</v>
      </c>
      <c r="U172" s="59">
        <v>11630003</v>
      </c>
      <c r="V172" s="59" t="s">
        <v>621</v>
      </c>
      <c r="W172" s="59">
        <v>1</v>
      </c>
    </row>
    <row r="173" spans="1:23" s="61" customFormat="1" ht="37.5" customHeight="1" x14ac:dyDescent="0.25">
      <c r="A173" s="59" t="str">
        <f t="shared" si="9"/>
        <v>800   ДЭФ   Департамент экономики и финансов</v>
      </c>
      <c r="B173" s="82">
        <v>11630003</v>
      </c>
      <c r="C173" s="59" t="s">
        <v>541</v>
      </c>
      <c r="D173" s="83">
        <f t="shared" si="10"/>
        <v>1</v>
      </c>
      <c r="E173" s="76"/>
      <c r="F173" s="69"/>
      <c r="G173" s="69"/>
      <c r="H173" s="69"/>
      <c r="I173" s="69"/>
      <c r="J173" s="69"/>
      <c r="K173" s="69"/>
      <c r="L173" s="69"/>
      <c r="M173" s="69"/>
      <c r="N173" s="69"/>
      <c r="O173" s="63"/>
      <c r="P173" s="63"/>
      <c r="Q173" s="63"/>
      <c r="R173" s="61" t="b">
        <f t="shared" si="11"/>
        <v>1</v>
      </c>
      <c r="U173" s="59">
        <v>1163000324</v>
      </c>
      <c r="V173" s="59" t="s">
        <v>621</v>
      </c>
      <c r="W173" s="59">
        <v>4</v>
      </c>
    </row>
    <row r="174" spans="1:23" s="61" customFormat="1" ht="37.5" customHeight="1" x14ac:dyDescent="0.25">
      <c r="A174" s="59" t="str">
        <f t="shared" si="9"/>
        <v>800   ДЭФ   Департамент экономики и финансов</v>
      </c>
      <c r="B174" s="82">
        <v>1163000324</v>
      </c>
      <c r="C174" s="59" t="s">
        <v>348</v>
      </c>
      <c r="D174" s="83">
        <f t="shared" si="10"/>
        <v>4</v>
      </c>
      <c r="E174" s="76"/>
      <c r="F174" s="69"/>
      <c r="G174" s="69"/>
      <c r="H174" s="69"/>
      <c r="I174" s="69"/>
      <c r="J174" s="69"/>
      <c r="K174" s="69"/>
      <c r="L174" s="69"/>
      <c r="M174" s="69"/>
      <c r="N174" s="69"/>
      <c r="O174" s="63"/>
      <c r="P174" s="63"/>
      <c r="Q174" s="63"/>
      <c r="R174" s="61" t="b">
        <f t="shared" si="11"/>
        <v>1</v>
      </c>
      <c r="U174" s="59">
        <v>1163000325</v>
      </c>
      <c r="V174" s="59" t="s">
        <v>621</v>
      </c>
      <c r="W174" s="59">
        <v>4.75</v>
      </c>
    </row>
    <row r="175" spans="1:23" s="61" customFormat="1" ht="37.5" customHeight="1" x14ac:dyDescent="0.25">
      <c r="A175" s="59" t="str">
        <f t="shared" si="9"/>
        <v>800   ДЭФ   Департамент экономики и финансов</v>
      </c>
      <c r="B175" s="82">
        <v>1163000325</v>
      </c>
      <c r="C175" s="59" t="s">
        <v>542</v>
      </c>
      <c r="D175" s="83">
        <f t="shared" si="10"/>
        <v>4.75</v>
      </c>
      <c r="E175" s="76"/>
      <c r="F175" s="69"/>
      <c r="G175" s="69"/>
      <c r="H175" s="69"/>
      <c r="I175" s="69"/>
      <c r="J175" s="69"/>
      <c r="K175" s="69"/>
      <c r="L175" s="69"/>
      <c r="M175" s="69"/>
      <c r="N175" s="69"/>
      <c r="O175" s="63"/>
      <c r="P175" s="63"/>
      <c r="Q175" s="63"/>
      <c r="R175" s="61" t="b">
        <f t="shared" si="11"/>
        <v>1</v>
      </c>
      <c r="U175" s="59">
        <v>1163000326</v>
      </c>
      <c r="V175" s="59" t="s">
        <v>621</v>
      </c>
      <c r="W175" s="59">
        <v>3</v>
      </c>
    </row>
    <row r="176" spans="1:23" s="61" customFormat="1" ht="37.5" customHeight="1" x14ac:dyDescent="0.25">
      <c r="A176" s="59" t="str">
        <f t="shared" si="9"/>
        <v>800   ДЭФ   Департамент экономики и финансов</v>
      </c>
      <c r="B176" s="82">
        <v>1163000326</v>
      </c>
      <c r="C176" s="59" t="s">
        <v>350</v>
      </c>
      <c r="D176" s="83">
        <f t="shared" si="10"/>
        <v>3</v>
      </c>
      <c r="E176" s="76"/>
      <c r="F176" s="69"/>
      <c r="G176" s="69"/>
      <c r="H176" s="69"/>
      <c r="I176" s="69"/>
      <c r="J176" s="69"/>
      <c r="K176" s="69"/>
      <c r="L176" s="69"/>
      <c r="M176" s="69"/>
      <c r="N176" s="69"/>
      <c r="O176" s="63"/>
      <c r="P176" s="63"/>
      <c r="Q176" s="63"/>
      <c r="R176" s="61" t="b">
        <f t="shared" si="11"/>
        <v>1</v>
      </c>
      <c r="U176" s="59">
        <v>11630004</v>
      </c>
      <c r="V176" s="59" t="s">
        <v>621</v>
      </c>
      <c r="W176" s="59">
        <v>10.25</v>
      </c>
    </row>
    <row r="177" spans="1:23" s="61" customFormat="1" ht="37.5" customHeight="1" x14ac:dyDescent="0.25">
      <c r="A177" s="59" t="str">
        <f t="shared" si="9"/>
        <v>800   ДЭФ   Департамент экономики и финансов</v>
      </c>
      <c r="B177" s="82">
        <v>11630004</v>
      </c>
      <c r="C177" s="59" t="s">
        <v>543</v>
      </c>
      <c r="D177" s="83">
        <f t="shared" si="10"/>
        <v>10.25</v>
      </c>
      <c r="E177" s="76"/>
      <c r="F177" s="69"/>
      <c r="G177" s="69"/>
      <c r="H177" s="69"/>
      <c r="I177" s="69"/>
      <c r="J177" s="69"/>
      <c r="K177" s="69"/>
      <c r="L177" s="69"/>
      <c r="M177" s="69"/>
      <c r="N177" s="69"/>
      <c r="O177" s="63"/>
      <c r="P177" s="63"/>
      <c r="Q177" s="63"/>
      <c r="R177" s="61" t="b">
        <f t="shared" si="11"/>
        <v>1</v>
      </c>
      <c r="U177" s="59">
        <v>11640</v>
      </c>
      <c r="V177" s="59" t="s">
        <v>622</v>
      </c>
      <c r="W177" s="59">
        <v>3</v>
      </c>
    </row>
    <row r="178" spans="1:23" s="61" customFormat="1" ht="37.5" customHeight="1" x14ac:dyDescent="0.25">
      <c r="A178" s="59" t="str">
        <f t="shared" si="9"/>
        <v>707   ДБУ   Департамент бухгалтерского учета</v>
      </c>
      <c r="B178" s="82">
        <v>11640</v>
      </c>
      <c r="C178" s="59" t="s">
        <v>544</v>
      </c>
      <c r="D178" s="83">
        <f t="shared" si="10"/>
        <v>3</v>
      </c>
      <c r="E178" s="76"/>
      <c r="F178" s="69"/>
      <c r="G178" s="69"/>
      <c r="H178" s="69"/>
      <c r="I178" s="69"/>
      <c r="J178" s="69"/>
      <c r="K178" s="69"/>
      <c r="L178" s="69"/>
      <c r="M178" s="69"/>
      <c r="N178" s="69"/>
      <c r="O178" s="63"/>
      <c r="P178" s="63"/>
      <c r="Q178" s="63"/>
      <c r="R178" s="61" t="b">
        <f t="shared" si="11"/>
        <v>1</v>
      </c>
      <c r="U178" s="59">
        <v>1164001</v>
      </c>
      <c r="V178" s="59" t="s">
        <v>622</v>
      </c>
      <c r="W178" s="59">
        <v>9</v>
      </c>
    </row>
    <row r="179" spans="1:23" s="61" customFormat="1" ht="37.5" customHeight="1" x14ac:dyDescent="0.25">
      <c r="A179" s="59" t="str">
        <f t="shared" si="9"/>
        <v>707   ДБУ   Департамент бухгалтерского учета</v>
      </c>
      <c r="B179" s="82">
        <v>1164001</v>
      </c>
      <c r="C179" s="59" t="s">
        <v>353</v>
      </c>
      <c r="D179" s="83">
        <f t="shared" si="10"/>
        <v>9</v>
      </c>
      <c r="E179" s="76"/>
      <c r="F179" s="69"/>
      <c r="G179" s="69"/>
      <c r="H179" s="69"/>
      <c r="I179" s="69"/>
      <c r="J179" s="69"/>
      <c r="K179" s="69"/>
      <c r="L179" s="69"/>
      <c r="M179" s="69"/>
      <c r="N179" s="69"/>
      <c r="O179" s="63"/>
      <c r="P179" s="63"/>
      <c r="Q179" s="63"/>
      <c r="R179" s="61" t="b">
        <f t="shared" si="11"/>
        <v>1</v>
      </c>
      <c r="U179" s="59">
        <v>1164002</v>
      </c>
      <c r="V179" s="59" t="s">
        <v>622</v>
      </c>
      <c r="W179" s="59">
        <v>6</v>
      </c>
    </row>
    <row r="180" spans="1:23" s="61" customFormat="1" ht="37.5" customHeight="1" x14ac:dyDescent="0.25">
      <c r="A180" s="59" t="str">
        <f t="shared" si="9"/>
        <v>707   ДБУ   Департамент бухгалтерского учета</v>
      </c>
      <c r="B180" s="82">
        <v>1164002</v>
      </c>
      <c r="C180" s="59" t="s">
        <v>354</v>
      </c>
      <c r="D180" s="83">
        <f t="shared" si="10"/>
        <v>6</v>
      </c>
      <c r="E180" s="76"/>
      <c r="F180" s="69"/>
      <c r="G180" s="69"/>
      <c r="H180" s="69"/>
      <c r="I180" s="69"/>
      <c r="J180" s="69"/>
      <c r="K180" s="69"/>
      <c r="L180" s="69"/>
      <c r="M180" s="69"/>
      <c r="N180" s="69"/>
      <c r="O180" s="63"/>
      <c r="P180" s="63"/>
      <c r="Q180" s="63"/>
      <c r="R180" s="61" t="b">
        <f t="shared" si="11"/>
        <v>1</v>
      </c>
      <c r="U180" s="59">
        <v>1164003</v>
      </c>
      <c r="V180" s="59" t="s">
        <v>622</v>
      </c>
      <c r="W180" s="59">
        <v>4</v>
      </c>
    </row>
    <row r="181" spans="1:23" s="61" customFormat="1" ht="37.5" customHeight="1" x14ac:dyDescent="0.25">
      <c r="A181" s="59" t="str">
        <f t="shared" si="9"/>
        <v>707   ДБУ   Департамент бухгалтерского учета</v>
      </c>
      <c r="B181" s="82">
        <v>1164003</v>
      </c>
      <c r="C181" s="59" t="s">
        <v>545</v>
      </c>
      <c r="D181" s="83">
        <f t="shared" si="10"/>
        <v>4</v>
      </c>
      <c r="E181" s="76"/>
      <c r="F181" s="69"/>
      <c r="G181" s="69"/>
      <c r="H181" s="69"/>
      <c r="I181" s="69"/>
      <c r="J181" s="69"/>
      <c r="K181" s="69"/>
      <c r="L181" s="69"/>
      <c r="M181" s="69"/>
      <c r="N181" s="69"/>
      <c r="O181" s="63"/>
      <c r="P181" s="63"/>
      <c r="Q181" s="63"/>
      <c r="R181" s="61" t="b">
        <f t="shared" si="11"/>
        <v>1</v>
      </c>
      <c r="U181" s="59">
        <v>1164004</v>
      </c>
      <c r="V181" s="59" t="s">
        <v>622</v>
      </c>
      <c r="W181" s="59">
        <v>5</v>
      </c>
    </row>
    <row r="182" spans="1:23" s="61" customFormat="1" ht="37.5" customHeight="1" x14ac:dyDescent="0.25">
      <c r="A182" s="59" t="str">
        <f t="shared" si="9"/>
        <v>707   ДБУ   Департамент бухгалтерского учета</v>
      </c>
      <c r="B182" s="82">
        <v>1164004</v>
      </c>
      <c r="C182" s="59" t="s">
        <v>546</v>
      </c>
      <c r="D182" s="83">
        <f t="shared" si="10"/>
        <v>5</v>
      </c>
      <c r="E182" s="76"/>
      <c r="F182" s="69"/>
      <c r="G182" s="69"/>
      <c r="H182" s="69"/>
      <c r="I182" s="69"/>
      <c r="J182" s="69"/>
      <c r="K182" s="69"/>
      <c r="L182" s="69"/>
      <c r="M182" s="69"/>
      <c r="N182" s="69"/>
      <c r="O182" s="63"/>
      <c r="P182" s="63"/>
      <c r="Q182" s="63"/>
      <c r="R182" s="61" t="b">
        <f t="shared" si="11"/>
        <v>1</v>
      </c>
      <c r="U182" s="59">
        <v>1164005</v>
      </c>
      <c r="V182" s="59" t="s">
        <v>622</v>
      </c>
      <c r="W182" s="59">
        <v>1</v>
      </c>
    </row>
    <row r="183" spans="1:23" s="61" customFormat="1" ht="37.5" customHeight="1" x14ac:dyDescent="0.25">
      <c r="A183" s="59" t="str">
        <f t="shared" si="9"/>
        <v>707   ДБУ   Департамент бухгалтерского учета</v>
      </c>
      <c r="B183" s="82">
        <v>1164005</v>
      </c>
      <c r="C183" s="59" t="s">
        <v>547</v>
      </c>
      <c r="D183" s="83">
        <f t="shared" si="10"/>
        <v>1</v>
      </c>
      <c r="E183" s="76"/>
      <c r="F183" s="69"/>
      <c r="G183" s="69"/>
      <c r="H183" s="69"/>
      <c r="I183" s="69"/>
      <c r="J183" s="69"/>
      <c r="K183" s="69"/>
      <c r="L183" s="69"/>
      <c r="M183" s="69"/>
      <c r="N183" s="69"/>
      <c r="O183" s="63"/>
      <c r="P183" s="63"/>
      <c r="Q183" s="63"/>
      <c r="R183" s="61" t="b">
        <f t="shared" si="11"/>
        <v>1</v>
      </c>
      <c r="U183" s="59">
        <v>121</v>
      </c>
      <c r="V183" s="59" t="s">
        <v>623</v>
      </c>
      <c r="W183" s="59">
        <v>1</v>
      </c>
    </row>
    <row r="184" spans="1:23" s="61" customFormat="1" ht="37.5" customHeight="1" x14ac:dyDescent="0.25">
      <c r="A184" s="59" t="str">
        <f t="shared" si="9"/>
        <v>011   Проректор по академической политике</v>
      </c>
      <c r="B184" s="82">
        <v>121</v>
      </c>
      <c r="C184" s="59" t="s">
        <v>548</v>
      </c>
      <c r="D184" s="83">
        <f t="shared" si="10"/>
        <v>1</v>
      </c>
      <c r="E184" s="76"/>
      <c r="F184" s="69"/>
      <c r="G184" s="69"/>
      <c r="H184" s="69"/>
      <c r="I184" s="69"/>
      <c r="J184" s="69"/>
      <c r="K184" s="69"/>
      <c r="L184" s="69"/>
      <c r="M184" s="69"/>
      <c r="N184" s="69"/>
      <c r="O184" s="63"/>
      <c r="P184" s="63"/>
      <c r="Q184" s="63"/>
      <c r="R184" s="61" t="b">
        <f t="shared" si="11"/>
        <v>1</v>
      </c>
      <c r="U184" s="59">
        <v>1214</v>
      </c>
      <c r="V184" s="59" t="s">
        <v>624</v>
      </c>
      <c r="W184" s="59">
        <v>1</v>
      </c>
    </row>
    <row r="185" spans="1:23" s="61" customFormat="1" ht="37.5" customHeight="1" x14ac:dyDescent="0.25">
      <c r="A185" s="59" t="str">
        <f t="shared" si="9"/>
        <v>009   Заместитель проректора по академичсекой политике</v>
      </c>
      <c r="B185" s="82">
        <v>1214</v>
      </c>
      <c r="C185" s="59" t="s">
        <v>549</v>
      </c>
      <c r="D185" s="83">
        <f t="shared" si="10"/>
        <v>1</v>
      </c>
      <c r="E185" s="76"/>
      <c r="F185" s="69"/>
      <c r="G185" s="69"/>
      <c r="H185" s="69"/>
      <c r="I185" s="69"/>
      <c r="J185" s="69"/>
      <c r="K185" s="69"/>
      <c r="L185" s="69"/>
      <c r="M185" s="69"/>
      <c r="N185" s="69"/>
      <c r="O185" s="63"/>
      <c r="P185" s="63"/>
      <c r="Q185" s="63"/>
      <c r="R185" s="61" t="b">
        <f t="shared" si="11"/>
        <v>1</v>
      </c>
      <c r="U185" s="59">
        <v>12141</v>
      </c>
      <c r="V185" s="59" t="s">
        <v>624</v>
      </c>
      <c r="W185" s="59">
        <v>2</v>
      </c>
    </row>
    <row r="186" spans="1:23" s="61" customFormat="1" ht="37.5" customHeight="1" x14ac:dyDescent="0.25">
      <c r="A186" s="59" t="str">
        <f t="shared" si="9"/>
        <v>009   Заместитель проректора по академичсекой политике</v>
      </c>
      <c r="B186" s="82">
        <v>12141</v>
      </c>
      <c r="C186" s="59" t="s">
        <v>550</v>
      </c>
      <c r="D186" s="83">
        <f t="shared" si="10"/>
        <v>2</v>
      </c>
      <c r="E186" s="76"/>
      <c r="F186" s="69"/>
      <c r="G186" s="69"/>
      <c r="H186" s="69"/>
      <c r="I186" s="69"/>
      <c r="J186" s="69"/>
      <c r="K186" s="69"/>
      <c r="L186" s="69"/>
      <c r="M186" s="69"/>
      <c r="N186" s="69"/>
      <c r="O186" s="63"/>
      <c r="P186" s="63"/>
      <c r="Q186" s="63"/>
      <c r="R186" s="61" t="b">
        <f t="shared" si="11"/>
        <v>1</v>
      </c>
      <c r="U186" s="59">
        <v>1214101</v>
      </c>
      <c r="V186" s="59" t="s">
        <v>624</v>
      </c>
      <c r="W186" s="59">
        <v>3</v>
      </c>
    </row>
    <row r="187" spans="1:23" s="61" customFormat="1" ht="37.5" customHeight="1" x14ac:dyDescent="0.25">
      <c r="A187" s="59" t="str">
        <f t="shared" si="9"/>
        <v>009   Заместитель проректора по академичсекой политике</v>
      </c>
      <c r="B187" s="82">
        <v>1214101</v>
      </c>
      <c r="C187" s="59" t="s">
        <v>551</v>
      </c>
      <c r="D187" s="83">
        <f t="shared" si="10"/>
        <v>3</v>
      </c>
      <c r="E187" s="76"/>
      <c r="F187" s="69"/>
      <c r="G187" s="69"/>
      <c r="H187" s="69"/>
      <c r="I187" s="69"/>
      <c r="J187" s="69"/>
      <c r="K187" s="69"/>
      <c r="L187" s="69"/>
      <c r="M187" s="69"/>
      <c r="N187" s="69"/>
      <c r="O187" s="63"/>
      <c r="P187" s="63"/>
      <c r="Q187" s="63"/>
      <c r="R187" s="61" t="b">
        <f t="shared" si="11"/>
        <v>1</v>
      </c>
      <c r="U187" s="59">
        <v>1214105</v>
      </c>
      <c r="V187" s="59" t="s">
        <v>624</v>
      </c>
      <c r="W187" s="59">
        <v>1</v>
      </c>
    </row>
    <row r="188" spans="1:23" s="61" customFormat="1" ht="37.5" customHeight="1" x14ac:dyDescent="0.25">
      <c r="A188" s="59" t="str">
        <f t="shared" si="9"/>
        <v>009   Заместитель проректора по академичсекой политике</v>
      </c>
      <c r="B188" s="82">
        <v>1214105</v>
      </c>
      <c r="C188" s="59" t="s">
        <v>552</v>
      </c>
      <c r="D188" s="83">
        <f t="shared" si="10"/>
        <v>1</v>
      </c>
      <c r="E188" s="78"/>
      <c r="F188" s="69"/>
      <c r="G188" s="69"/>
      <c r="H188" s="69"/>
      <c r="I188" s="69"/>
      <c r="J188" s="69"/>
      <c r="K188" s="69"/>
      <c r="L188" s="69"/>
      <c r="M188" s="69"/>
      <c r="N188" s="69"/>
      <c r="O188" s="63"/>
      <c r="P188" s="63"/>
      <c r="Q188" s="63"/>
      <c r="R188" s="61" t="b">
        <f t="shared" si="11"/>
        <v>1</v>
      </c>
      <c r="U188" s="59">
        <v>1214106</v>
      </c>
      <c r="V188" s="59" t="s">
        <v>624</v>
      </c>
      <c r="W188" s="59">
        <v>3</v>
      </c>
    </row>
    <row r="189" spans="1:23" s="61" customFormat="1" ht="37.5" customHeight="1" x14ac:dyDescent="0.25">
      <c r="A189" s="59" t="str">
        <f t="shared" si="9"/>
        <v>009   Заместитель проректора по академичсекой политике</v>
      </c>
      <c r="B189" s="82">
        <v>1214106</v>
      </c>
      <c r="C189" s="59" t="s">
        <v>553</v>
      </c>
      <c r="D189" s="83">
        <f t="shared" si="10"/>
        <v>3</v>
      </c>
      <c r="E189" s="78"/>
      <c r="F189" s="69"/>
      <c r="G189" s="69"/>
      <c r="H189" s="69"/>
      <c r="I189" s="69"/>
      <c r="J189" s="69"/>
      <c r="K189" s="69"/>
      <c r="L189" s="69"/>
      <c r="M189" s="69"/>
      <c r="N189" s="69"/>
      <c r="O189" s="63"/>
      <c r="P189" s="63"/>
      <c r="Q189" s="63"/>
      <c r="R189" s="61" t="b">
        <f t="shared" si="11"/>
        <v>1</v>
      </c>
      <c r="U189" s="59">
        <v>1215</v>
      </c>
      <c r="V189" s="59" t="s">
        <v>625</v>
      </c>
      <c r="W189" s="59">
        <v>1</v>
      </c>
    </row>
    <row r="190" spans="1:23" s="61" customFormat="1" ht="37.5" customHeight="1" x14ac:dyDescent="0.25">
      <c r="A190" s="59" t="str">
        <f t="shared" si="9"/>
        <v>825   УРО   Управление развития образования</v>
      </c>
      <c r="B190" s="82">
        <v>1215</v>
      </c>
      <c r="C190" s="59" t="s">
        <v>554</v>
      </c>
      <c r="D190" s="83">
        <f t="shared" si="10"/>
        <v>1</v>
      </c>
      <c r="E190" s="78"/>
      <c r="F190" s="69"/>
      <c r="G190" s="69"/>
      <c r="H190" s="69"/>
      <c r="I190" s="69"/>
      <c r="J190" s="69"/>
      <c r="K190" s="69"/>
      <c r="L190" s="69"/>
      <c r="M190" s="69"/>
      <c r="N190" s="69"/>
      <c r="O190" s="63"/>
      <c r="P190" s="63"/>
      <c r="Q190" s="63"/>
      <c r="R190" s="61" t="b">
        <f t="shared" si="11"/>
        <v>1</v>
      </c>
      <c r="U190" s="59">
        <v>12151</v>
      </c>
      <c r="V190" s="59" t="s">
        <v>625</v>
      </c>
      <c r="W190" s="59">
        <v>3.5</v>
      </c>
    </row>
    <row r="191" spans="1:23" s="61" customFormat="1" ht="37.5" customHeight="1" x14ac:dyDescent="0.25">
      <c r="A191" s="59" t="str">
        <f t="shared" si="9"/>
        <v>825   УРО   Управление развития образования</v>
      </c>
      <c r="B191" s="82">
        <v>12151</v>
      </c>
      <c r="C191" s="59" t="s">
        <v>555</v>
      </c>
      <c r="D191" s="83">
        <f t="shared" si="10"/>
        <v>3.5</v>
      </c>
      <c r="E191" s="78"/>
      <c r="F191" s="69"/>
      <c r="G191" s="69"/>
      <c r="H191" s="69"/>
      <c r="I191" s="69"/>
      <c r="J191" s="69"/>
      <c r="K191" s="69"/>
      <c r="L191" s="69"/>
      <c r="M191" s="69"/>
      <c r="N191" s="69"/>
      <c r="O191" s="63"/>
      <c r="P191" s="63"/>
      <c r="Q191" s="63"/>
      <c r="R191" s="61" t="b">
        <f t="shared" si="11"/>
        <v>1</v>
      </c>
      <c r="U191" s="59">
        <v>1215101</v>
      </c>
      <c r="V191" s="59" t="s">
        <v>625</v>
      </c>
      <c r="W191" s="59">
        <v>9.5</v>
      </c>
    </row>
    <row r="192" spans="1:23" s="61" customFormat="1" ht="37.5" customHeight="1" x14ac:dyDescent="0.25">
      <c r="A192" s="59" t="str">
        <f t="shared" si="9"/>
        <v>825   УРО   Управление развития образования</v>
      </c>
      <c r="B192" s="82">
        <v>1215101</v>
      </c>
      <c r="C192" s="59" t="s">
        <v>338</v>
      </c>
      <c r="D192" s="83">
        <f t="shared" si="10"/>
        <v>9.5</v>
      </c>
      <c r="E192" s="79"/>
      <c r="F192" s="69"/>
      <c r="G192" s="69"/>
      <c r="H192" s="69"/>
      <c r="I192" s="69"/>
      <c r="J192" s="69"/>
      <c r="K192" s="69"/>
      <c r="L192" s="69"/>
      <c r="M192" s="69"/>
      <c r="N192" s="69"/>
      <c r="O192" s="63"/>
      <c r="P192" s="63"/>
      <c r="Q192" s="63"/>
      <c r="R192" s="61" t="b">
        <f t="shared" si="11"/>
        <v>1</v>
      </c>
      <c r="U192" s="59">
        <v>1215102</v>
      </c>
      <c r="V192" s="59" t="s">
        <v>625</v>
      </c>
      <c r="W192" s="59">
        <v>3</v>
      </c>
    </row>
    <row r="193" spans="1:23" s="61" customFormat="1" ht="37.5" customHeight="1" x14ac:dyDescent="0.25">
      <c r="A193" s="59" t="str">
        <f t="shared" si="9"/>
        <v>825   УРО   Управление развития образования</v>
      </c>
      <c r="B193" s="82">
        <v>1215102</v>
      </c>
      <c r="C193" s="59" t="s">
        <v>340</v>
      </c>
      <c r="D193" s="83">
        <f t="shared" si="10"/>
        <v>3</v>
      </c>
      <c r="E193" s="76"/>
      <c r="F193" s="69"/>
      <c r="G193" s="69"/>
      <c r="H193" s="69"/>
      <c r="I193" s="69"/>
      <c r="J193" s="69"/>
      <c r="K193" s="69"/>
      <c r="L193" s="69"/>
      <c r="M193" s="69"/>
      <c r="N193" s="69"/>
      <c r="O193" s="63"/>
      <c r="P193" s="63"/>
      <c r="Q193" s="63"/>
      <c r="R193" s="61" t="b">
        <f t="shared" ref="R193:R223" si="12">D194=W193</f>
        <v>1</v>
      </c>
      <c r="U193" s="59">
        <v>1215116</v>
      </c>
      <c r="V193" s="59" t="s">
        <v>625</v>
      </c>
      <c r="W193" s="59">
        <v>3.25</v>
      </c>
    </row>
    <row r="194" spans="1:23" s="61" customFormat="1" ht="37.5" customHeight="1" x14ac:dyDescent="0.25">
      <c r="A194" s="59" t="str">
        <f t="shared" si="9"/>
        <v>825   УРО   Управление развития образования</v>
      </c>
      <c r="B194" s="82">
        <v>1215116</v>
      </c>
      <c r="C194" s="59" t="s">
        <v>342</v>
      </c>
      <c r="D194" s="83">
        <f t="shared" si="10"/>
        <v>3.25</v>
      </c>
      <c r="E194" s="80"/>
      <c r="F194" s="69"/>
      <c r="G194" s="69"/>
      <c r="H194" s="69"/>
      <c r="I194" s="69"/>
      <c r="J194" s="69"/>
      <c r="K194" s="69"/>
      <c r="L194" s="69"/>
      <c r="M194" s="69"/>
      <c r="N194" s="69"/>
      <c r="O194" s="63"/>
      <c r="P194" s="63"/>
      <c r="Q194" s="63"/>
      <c r="R194" s="61" t="b">
        <f t="shared" si="12"/>
        <v>1</v>
      </c>
      <c r="U194" s="59">
        <v>12152</v>
      </c>
      <c r="V194" s="59" t="s">
        <v>625</v>
      </c>
      <c r="W194" s="59">
        <v>3</v>
      </c>
    </row>
    <row r="195" spans="1:23" s="61" customFormat="1" ht="37.5" customHeight="1" x14ac:dyDescent="0.25">
      <c r="A195" s="59" t="str">
        <f t="shared" si="9"/>
        <v>825   УРО   Управление развития образования</v>
      </c>
      <c r="B195" s="82">
        <v>12152</v>
      </c>
      <c r="C195" s="59" t="s">
        <v>556</v>
      </c>
      <c r="D195" s="83">
        <f t="shared" si="10"/>
        <v>3</v>
      </c>
      <c r="E195" s="81"/>
      <c r="F195" s="69"/>
      <c r="G195" s="69"/>
      <c r="H195" s="69"/>
      <c r="I195" s="69"/>
      <c r="J195" s="69"/>
      <c r="K195" s="69"/>
      <c r="L195" s="69"/>
      <c r="M195" s="69"/>
      <c r="N195" s="69"/>
      <c r="O195" s="63"/>
      <c r="P195" s="63"/>
      <c r="Q195" s="63"/>
      <c r="R195" s="61" t="b">
        <f t="shared" si="12"/>
        <v>1</v>
      </c>
      <c r="U195" s="59">
        <v>12153</v>
      </c>
      <c r="V195" s="59" t="s">
        <v>625</v>
      </c>
      <c r="W195" s="59">
        <v>1.5</v>
      </c>
    </row>
    <row r="196" spans="1:23" s="61" customFormat="1" ht="37.5" customHeight="1" x14ac:dyDescent="0.25">
      <c r="A196" s="59" t="str">
        <f t="shared" si="9"/>
        <v>825   УРО   Управление развития образования</v>
      </c>
      <c r="B196" s="82">
        <v>12153</v>
      </c>
      <c r="C196" s="59" t="s">
        <v>557</v>
      </c>
      <c r="D196" s="83">
        <f t="shared" si="10"/>
        <v>1.5</v>
      </c>
      <c r="E196" s="81"/>
      <c r="F196" s="69"/>
      <c r="G196" s="69"/>
      <c r="H196" s="69"/>
      <c r="I196" s="69"/>
      <c r="J196" s="69"/>
      <c r="K196" s="69"/>
      <c r="L196" s="69"/>
      <c r="M196" s="69"/>
      <c r="N196" s="69"/>
      <c r="O196" s="63"/>
      <c r="P196" s="63"/>
      <c r="Q196" s="63"/>
      <c r="R196" s="61" t="b">
        <f t="shared" si="12"/>
        <v>1</v>
      </c>
      <c r="U196" s="59">
        <v>1216</v>
      </c>
      <c r="V196" s="59" t="s">
        <v>626</v>
      </c>
      <c r="W196" s="59">
        <v>3</v>
      </c>
    </row>
    <row r="197" spans="1:23" s="61" customFormat="1" ht="37.5" customHeight="1" x14ac:dyDescent="0.25">
      <c r="A197" s="59" t="str">
        <f t="shared" ref="A197:A224" si="13">VLOOKUP(B197,$U$4:$V$223,2,FALSE)</f>
        <v>826   РЦ ПАД   Ресурсный центр прикладного анализа данных</v>
      </c>
      <c r="B197" s="82">
        <v>1216</v>
      </c>
      <c r="C197" s="59" t="s">
        <v>558</v>
      </c>
      <c r="D197" s="83">
        <f t="shared" ref="D197:D224" si="14">VLOOKUP(B197,$U$4:$W$223,3,FALSE)</f>
        <v>3</v>
      </c>
      <c r="E197" s="76"/>
      <c r="F197" s="69"/>
      <c r="G197" s="69"/>
      <c r="H197" s="69"/>
      <c r="I197" s="69"/>
      <c r="J197" s="69"/>
      <c r="K197" s="69"/>
      <c r="L197" s="69"/>
      <c r="M197" s="69"/>
      <c r="N197" s="69"/>
      <c r="O197" s="63"/>
      <c r="P197" s="63"/>
      <c r="Q197" s="63"/>
      <c r="R197" s="61" t="b">
        <f t="shared" si="12"/>
        <v>1</v>
      </c>
      <c r="U197" s="59">
        <v>125</v>
      </c>
      <c r="V197" s="59" t="s">
        <v>627</v>
      </c>
      <c r="W197" s="59">
        <v>1</v>
      </c>
    </row>
    <row r="198" spans="1:23" s="61" customFormat="1" ht="37.5" customHeight="1" x14ac:dyDescent="0.25">
      <c r="A198" s="59" t="str">
        <f t="shared" si="13"/>
        <v>708   ЮС   Юридическая служба</v>
      </c>
      <c r="B198" s="82">
        <v>125</v>
      </c>
      <c r="C198" s="59" t="s">
        <v>189</v>
      </c>
      <c r="D198" s="83">
        <f t="shared" si="14"/>
        <v>1</v>
      </c>
      <c r="E198" s="76"/>
      <c r="F198" s="69"/>
      <c r="G198" s="69"/>
      <c r="H198" s="69"/>
      <c r="I198" s="69"/>
      <c r="J198" s="69"/>
      <c r="K198" s="69"/>
      <c r="L198" s="69"/>
      <c r="M198" s="69"/>
      <c r="N198" s="69"/>
      <c r="O198" s="63"/>
      <c r="P198" s="63"/>
      <c r="Q198" s="63"/>
      <c r="R198" s="61" t="b">
        <f t="shared" si="12"/>
        <v>1</v>
      </c>
      <c r="U198" s="59">
        <v>12501</v>
      </c>
      <c r="V198" s="59" t="s">
        <v>627</v>
      </c>
      <c r="W198" s="59">
        <v>2</v>
      </c>
    </row>
    <row r="199" spans="1:23" s="61" customFormat="1" ht="37.5" customHeight="1" x14ac:dyDescent="0.25">
      <c r="A199" s="59" t="str">
        <f t="shared" si="13"/>
        <v>708   ЮС   Юридическая служба</v>
      </c>
      <c r="B199" s="82">
        <v>12501</v>
      </c>
      <c r="C199" s="59" t="s">
        <v>191</v>
      </c>
      <c r="D199" s="83">
        <f t="shared" si="14"/>
        <v>2</v>
      </c>
      <c r="E199" s="76"/>
      <c r="F199" s="69"/>
      <c r="G199" s="69"/>
      <c r="H199" s="69"/>
      <c r="I199" s="69"/>
      <c r="J199" s="69"/>
      <c r="K199" s="69"/>
      <c r="L199" s="69"/>
      <c r="M199" s="69"/>
      <c r="N199" s="69"/>
      <c r="O199" s="63"/>
      <c r="P199" s="63"/>
      <c r="Q199" s="63"/>
      <c r="R199" s="61" t="b">
        <f t="shared" si="12"/>
        <v>1</v>
      </c>
      <c r="U199" s="59">
        <v>12502</v>
      </c>
      <c r="V199" s="59" t="s">
        <v>627</v>
      </c>
      <c r="W199" s="59">
        <v>3</v>
      </c>
    </row>
    <row r="200" spans="1:23" s="61" customFormat="1" ht="37.5" customHeight="1" x14ac:dyDescent="0.25">
      <c r="A200" s="59" t="str">
        <f t="shared" si="13"/>
        <v>708   ЮС   Юридическая служба</v>
      </c>
      <c r="B200" s="82">
        <v>12502</v>
      </c>
      <c r="C200" s="59" t="s">
        <v>559</v>
      </c>
      <c r="D200" s="83">
        <f t="shared" si="14"/>
        <v>3</v>
      </c>
      <c r="E200" s="76"/>
      <c r="F200" s="69"/>
      <c r="G200" s="69"/>
      <c r="H200" s="69"/>
      <c r="I200" s="69"/>
      <c r="J200" s="69"/>
      <c r="K200" s="69"/>
      <c r="L200" s="69"/>
      <c r="M200" s="69"/>
      <c r="N200" s="69"/>
      <c r="O200" s="63"/>
      <c r="P200" s="63"/>
      <c r="Q200" s="63"/>
      <c r="R200" s="61" t="b">
        <f t="shared" si="12"/>
        <v>1</v>
      </c>
      <c r="U200" s="59">
        <v>130</v>
      </c>
      <c r="V200" s="59" t="s">
        <v>628</v>
      </c>
      <c r="W200" s="59">
        <v>4.25</v>
      </c>
    </row>
    <row r="201" spans="1:23" s="61" customFormat="1" ht="37.5" customHeight="1" x14ac:dyDescent="0.25">
      <c r="A201" s="59" t="str">
        <f t="shared" si="13"/>
        <v>930   Филиал ФГБОУ ВО "ВГУЭС" в г. Находка</v>
      </c>
      <c r="B201" s="82">
        <v>130</v>
      </c>
      <c r="C201" s="59" t="s">
        <v>560</v>
      </c>
      <c r="D201" s="83">
        <f t="shared" si="14"/>
        <v>4.25</v>
      </c>
      <c r="E201" s="75"/>
      <c r="F201" s="69"/>
      <c r="G201" s="69"/>
      <c r="H201" s="69"/>
      <c r="I201" s="69"/>
      <c r="J201" s="69"/>
      <c r="K201" s="69"/>
      <c r="L201" s="69"/>
      <c r="M201" s="69"/>
      <c r="N201" s="69"/>
      <c r="O201" s="63"/>
      <c r="P201" s="63"/>
      <c r="Q201" s="63"/>
      <c r="R201" s="61" t="b">
        <f t="shared" si="12"/>
        <v>1</v>
      </c>
      <c r="U201" s="59">
        <v>130005</v>
      </c>
      <c r="V201" s="59" t="s">
        <v>628</v>
      </c>
      <c r="W201" s="59">
        <v>23.4</v>
      </c>
    </row>
    <row r="202" spans="1:23" s="61" customFormat="1" ht="37.5" customHeight="1" x14ac:dyDescent="0.25">
      <c r="A202" s="59" t="str">
        <f t="shared" si="13"/>
        <v>930   Филиал ФГБОУ ВО "ВГУЭС" в г. Находка</v>
      </c>
      <c r="B202" s="82">
        <v>130005</v>
      </c>
      <c r="C202" s="59" t="s">
        <v>561</v>
      </c>
      <c r="D202" s="83">
        <f t="shared" si="14"/>
        <v>23.4</v>
      </c>
      <c r="E202" s="75"/>
      <c r="F202" s="69"/>
      <c r="G202" s="69"/>
      <c r="H202" s="69"/>
      <c r="I202" s="69"/>
      <c r="J202" s="69"/>
      <c r="K202" s="69"/>
      <c r="L202" s="69"/>
      <c r="M202" s="69"/>
      <c r="N202" s="69"/>
      <c r="O202" s="63"/>
      <c r="P202" s="63"/>
      <c r="Q202" s="63"/>
      <c r="R202" s="61" t="b">
        <f t="shared" si="12"/>
        <v>1</v>
      </c>
      <c r="U202" s="59">
        <v>130006</v>
      </c>
      <c r="V202" s="59" t="s">
        <v>628</v>
      </c>
      <c r="W202" s="59">
        <v>7.5</v>
      </c>
    </row>
    <row r="203" spans="1:23" s="61" customFormat="1" ht="37.5" customHeight="1" x14ac:dyDescent="0.25">
      <c r="A203" s="59" t="str">
        <f t="shared" si="13"/>
        <v>930   Филиал ФГБОУ ВО "ВГУЭС" в г. Находка</v>
      </c>
      <c r="B203" s="82">
        <v>130006</v>
      </c>
      <c r="C203" s="59" t="s">
        <v>562</v>
      </c>
      <c r="D203" s="83">
        <f t="shared" si="14"/>
        <v>7.5</v>
      </c>
      <c r="E203" s="75"/>
      <c r="F203" s="69"/>
      <c r="G203" s="69"/>
      <c r="H203" s="69"/>
      <c r="I203" s="69"/>
      <c r="J203" s="69"/>
      <c r="K203" s="69"/>
      <c r="L203" s="69"/>
      <c r="M203" s="69"/>
      <c r="N203" s="69"/>
      <c r="O203" s="63"/>
      <c r="P203" s="63"/>
      <c r="Q203" s="63"/>
      <c r="R203" s="61" t="b">
        <f t="shared" si="12"/>
        <v>1</v>
      </c>
      <c r="U203" s="59">
        <v>130007</v>
      </c>
      <c r="V203" s="59" t="s">
        <v>628</v>
      </c>
      <c r="W203" s="59">
        <v>2</v>
      </c>
    </row>
    <row r="204" spans="1:23" s="61" customFormat="1" ht="37.5" customHeight="1" x14ac:dyDescent="0.25">
      <c r="A204" s="59" t="str">
        <f t="shared" si="13"/>
        <v>930   Филиал ФГБОУ ВО "ВГУЭС" в г. Находка</v>
      </c>
      <c r="B204" s="82">
        <v>130007</v>
      </c>
      <c r="C204" s="59" t="s">
        <v>563</v>
      </c>
      <c r="D204" s="83">
        <f t="shared" si="14"/>
        <v>2</v>
      </c>
      <c r="E204" s="75"/>
      <c r="F204" s="69"/>
      <c r="G204" s="69"/>
      <c r="H204" s="69"/>
      <c r="I204" s="69"/>
      <c r="J204" s="69"/>
      <c r="K204" s="69"/>
      <c r="L204" s="69"/>
      <c r="M204" s="69"/>
      <c r="N204" s="69"/>
      <c r="O204" s="63"/>
      <c r="P204" s="63"/>
      <c r="Q204" s="63"/>
      <c r="R204" s="61" t="b">
        <f t="shared" si="12"/>
        <v>1</v>
      </c>
      <c r="U204" s="59">
        <v>130008</v>
      </c>
      <c r="V204" s="59" t="s">
        <v>628</v>
      </c>
      <c r="W204" s="59">
        <v>5.25</v>
      </c>
    </row>
    <row r="205" spans="1:23" s="61" customFormat="1" ht="37.5" customHeight="1" x14ac:dyDescent="0.25">
      <c r="A205" s="59" t="str">
        <f t="shared" si="13"/>
        <v>930   Филиал ФГБОУ ВО "ВГУЭС" в г. Находка</v>
      </c>
      <c r="B205" s="82">
        <v>130008</v>
      </c>
      <c r="C205" s="59" t="s">
        <v>564</v>
      </c>
      <c r="D205" s="83">
        <f t="shared" si="14"/>
        <v>5.25</v>
      </c>
      <c r="E205" s="75"/>
      <c r="F205" s="69"/>
      <c r="G205" s="69"/>
      <c r="H205" s="69"/>
      <c r="I205" s="69"/>
      <c r="J205" s="69"/>
      <c r="K205" s="69"/>
      <c r="L205" s="69"/>
      <c r="M205" s="69"/>
      <c r="N205" s="69"/>
      <c r="O205" s="63"/>
      <c r="P205" s="63"/>
      <c r="Q205" s="63"/>
      <c r="R205" s="61" t="b">
        <f t="shared" si="12"/>
        <v>1</v>
      </c>
      <c r="U205" s="59">
        <v>130009</v>
      </c>
      <c r="V205" s="59" t="s">
        <v>628</v>
      </c>
      <c r="W205" s="59">
        <v>19.5</v>
      </c>
    </row>
    <row r="206" spans="1:23" s="61" customFormat="1" ht="37.5" customHeight="1" x14ac:dyDescent="0.25">
      <c r="A206" s="59" t="str">
        <f t="shared" si="13"/>
        <v>930   Филиал ФГБОУ ВО "ВГУЭС" в г. Находка</v>
      </c>
      <c r="B206" s="82">
        <v>130009</v>
      </c>
      <c r="C206" s="59" t="s">
        <v>382</v>
      </c>
      <c r="D206" s="83">
        <f t="shared" si="14"/>
        <v>19.5</v>
      </c>
      <c r="E206" s="75"/>
      <c r="F206" s="69"/>
      <c r="G206" s="69"/>
      <c r="H206" s="69"/>
      <c r="I206" s="69"/>
      <c r="J206" s="69"/>
      <c r="K206" s="69"/>
      <c r="L206" s="69"/>
      <c r="M206" s="69"/>
      <c r="N206" s="69"/>
      <c r="O206" s="63"/>
      <c r="P206" s="63"/>
      <c r="Q206" s="63"/>
      <c r="R206" s="61" t="b">
        <f t="shared" si="12"/>
        <v>1</v>
      </c>
      <c r="U206" s="59">
        <v>133</v>
      </c>
      <c r="V206" s="59" t="s">
        <v>629</v>
      </c>
      <c r="W206" s="59">
        <v>0.5</v>
      </c>
    </row>
    <row r="207" spans="1:23" s="61" customFormat="1" ht="37.5" customHeight="1" x14ac:dyDescent="0.25">
      <c r="A207" s="59" t="str">
        <f t="shared" si="13"/>
        <v>723   УЗГТиМ   Управление защиты государственной тайны и мобилизации</v>
      </c>
      <c r="B207" s="82">
        <v>133</v>
      </c>
      <c r="C207" s="59" t="s">
        <v>565</v>
      </c>
      <c r="D207" s="83">
        <f t="shared" si="14"/>
        <v>0.5</v>
      </c>
      <c r="E207" s="75"/>
      <c r="F207" s="69"/>
      <c r="G207" s="69"/>
      <c r="H207" s="69"/>
      <c r="I207" s="69"/>
      <c r="J207" s="69"/>
      <c r="K207" s="69"/>
      <c r="L207" s="69"/>
      <c r="M207" s="69"/>
      <c r="N207" s="69"/>
      <c r="O207" s="63"/>
      <c r="P207" s="63"/>
      <c r="Q207" s="63"/>
      <c r="R207" s="61" t="b">
        <f t="shared" si="12"/>
        <v>1</v>
      </c>
      <c r="U207" s="59">
        <v>1333904</v>
      </c>
      <c r="V207" s="59" t="s">
        <v>629</v>
      </c>
      <c r="W207" s="59">
        <v>0.75</v>
      </c>
    </row>
    <row r="208" spans="1:23" s="61" customFormat="1" ht="37.5" customHeight="1" x14ac:dyDescent="0.25">
      <c r="A208" s="59" t="str">
        <f t="shared" si="13"/>
        <v>723   УЗГТиМ   Управление защиты государственной тайны и мобилизации</v>
      </c>
      <c r="B208" s="82">
        <v>1333904</v>
      </c>
      <c r="C208" s="59" t="s">
        <v>566</v>
      </c>
      <c r="D208" s="83">
        <f t="shared" si="14"/>
        <v>0.75</v>
      </c>
      <c r="E208" s="75"/>
      <c r="F208" s="69"/>
      <c r="G208" s="69"/>
      <c r="H208" s="69"/>
      <c r="I208" s="69"/>
      <c r="J208" s="69"/>
      <c r="K208" s="69"/>
      <c r="L208" s="69"/>
      <c r="M208" s="69"/>
      <c r="N208" s="69"/>
      <c r="O208" s="63"/>
      <c r="P208" s="63"/>
      <c r="Q208" s="63"/>
      <c r="R208" s="61" t="b">
        <f t="shared" si="12"/>
        <v>1</v>
      </c>
      <c r="U208" s="59">
        <v>1333905</v>
      </c>
      <c r="V208" s="59" t="s">
        <v>629</v>
      </c>
      <c r="W208" s="59">
        <v>1.5</v>
      </c>
    </row>
    <row r="209" spans="1:23" s="61" customFormat="1" ht="37.5" customHeight="1" x14ac:dyDescent="0.25">
      <c r="A209" s="59" t="str">
        <f t="shared" si="13"/>
        <v>723   УЗГТиМ   Управление защиты государственной тайны и мобилизации</v>
      </c>
      <c r="B209" s="82">
        <v>1333905</v>
      </c>
      <c r="C209" s="59" t="s">
        <v>567</v>
      </c>
      <c r="D209" s="83">
        <f t="shared" si="14"/>
        <v>1.5</v>
      </c>
      <c r="E209" s="75"/>
      <c r="F209" s="69"/>
      <c r="G209" s="69"/>
      <c r="H209" s="69"/>
      <c r="I209" s="69"/>
      <c r="J209" s="69"/>
      <c r="K209" s="69"/>
      <c r="L209" s="69"/>
      <c r="M209" s="69"/>
      <c r="N209" s="69"/>
      <c r="O209" s="63"/>
      <c r="P209" s="63"/>
      <c r="Q209" s="63"/>
      <c r="R209" s="61" t="b">
        <f t="shared" si="12"/>
        <v>1</v>
      </c>
      <c r="U209" s="59">
        <v>164</v>
      </c>
      <c r="V209" s="59" t="s">
        <v>630</v>
      </c>
      <c r="W209" s="59">
        <v>5.5</v>
      </c>
    </row>
    <row r="210" spans="1:23" s="61" customFormat="1" ht="37.5" customHeight="1" x14ac:dyDescent="0.25">
      <c r="A210" s="59" t="str">
        <f t="shared" si="13"/>
        <v>920   Филиал ФГБОУ ВО "ВГУЭС" в г. Артеме</v>
      </c>
      <c r="B210" s="82">
        <v>164</v>
      </c>
      <c r="C210" s="59" t="s">
        <v>568</v>
      </c>
      <c r="D210" s="83">
        <f t="shared" si="14"/>
        <v>5.5</v>
      </c>
      <c r="E210" s="75"/>
      <c r="F210" s="69"/>
      <c r="G210" s="69"/>
      <c r="H210" s="69"/>
      <c r="I210" s="69"/>
      <c r="J210" s="69"/>
      <c r="K210" s="69"/>
      <c r="L210" s="69"/>
      <c r="M210" s="69"/>
      <c r="N210" s="69"/>
      <c r="O210" s="63"/>
      <c r="P210" s="63"/>
      <c r="Q210" s="63"/>
      <c r="R210" s="61" t="b">
        <f t="shared" si="12"/>
        <v>1</v>
      </c>
      <c r="U210" s="59">
        <v>16403</v>
      </c>
      <c r="V210" s="59" t="s">
        <v>630</v>
      </c>
      <c r="W210" s="59">
        <v>44.269999999999996</v>
      </c>
    </row>
    <row r="211" spans="1:23" s="61" customFormat="1" ht="37.5" customHeight="1" x14ac:dyDescent="0.25">
      <c r="A211" s="59" t="str">
        <f t="shared" si="13"/>
        <v>920   Филиал ФГБОУ ВО "ВГУЭС" в г. Артеме</v>
      </c>
      <c r="B211" s="82">
        <v>16403</v>
      </c>
      <c r="C211" s="59" t="s">
        <v>569</v>
      </c>
      <c r="D211" s="83">
        <f t="shared" si="14"/>
        <v>44.269999999999996</v>
      </c>
      <c r="E211" s="76"/>
      <c r="F211" s="69"/>
      <c r="G211" s="69"/>
      <c r="H211" s="69"/>
      <c r="I211" s="69"/>
      <c r="J211" s="69"/>
      <c r="K211" s="69"/>
      <c r="L211" s="69"/>
      <c r="M211" s="69"/>
      <c r="N211" s="69"/>
      <c r="O211" s="63"/>
      <c r="P211" s="63"/>
      <c r="Q211" s="63"/>
      <c r="R211" s="61" t="b">
        <f t="shared" si="12"/>
        <v>1</v>
      </c>
      <c r="U211" s="59">
        <v>16404</v>
      </c>
      <c r="V211" s="59" t="s">
        <v>630</v>
      </c>
      <c r="W211" s="59">
        <v>17.16</v>
      </c>
    </row>
    <row r="212" spans="1:23" s="61" customFormat="1" ht="37.5" customHeight="1" x14ac:dyDescent="0.25">
      <c r="A212" s="59" t="str">
        <f t="shared" si="13"/>
        <v>920   Филиал ФГБОУ ВО "ВГУЭС" в г. Артеме</v>
      </c>
      <c r="B212" s="82">
        <v>16404</v>
      </c>
      <c r="C212" s="59" t="s">
        <v>388</v>
      </c>
      <c r="D212" s="83">
        <f t="shared" si="14"/>
        <v>17.16</v>
      </c>
      <c r="E212" s="76"/>
      <c r="F212" s="69"/>
      <c r="G212" s="69"/>
      <c r="H212" s="69"/>
      <c r="I212" s="69"/>
      <c r="J212" s="69"/>
      <c r="K212" s="69"/>
      <c r="L212" s="69"/>
      <c r="M212" s="69"/>
      <c r="N212" s="69"/>
      <c r="O212" s="63"/>
      <c r="P212" s="63"/>
      <c r="Q212" s="63"/>
      <c r="R212" s="61" t="b">
        <f t="shared" si="12"/>
        <v>1</v>
      </c>
      <c r="U212" s="59">
        <v>16407</v>
      </c>
      <c r="V212" s="59" t="s">
        <v>630</v>
      </c>
      <c r="W212" s="59">
        <v>2</v>
      </c>
    </row>
    <row r="213" spans="1:23" s="61" customFormat="1" ht="37.5" customHeight="1" x14ac:dyDescent="0.25">
      <c r="A213" s="59" t="str">
        <f t="shared" si="13"/>
        <v>920   Филиал ФГБОУ ВО "ВГУЭС" в г. Артеме</v>
      </c>
      <c r="B213" s="82">
        <v>16407</v>
      </c>
      <c r="C213" s="59" t="s">
        <v>570</v>
      </c>
      <c r="D213" s="83">
        <f t="shared" si="14"/>
        <v>2</v>
      </c>
      <c r="E213" s="76"/>
      <c r="F213" s="69"/>
      <c r="G213" s="69"/>
      <c r="H213" s="69"/>
      <c r="I213" s="69"/>
      <c r="J213" s="69"/>
      <c r="K213" s="69"/>
      <c r="L213" s="69"/>
      <c r="M213" s="69"/>
      <c r="N213" s="69"/>
      <c r="O213" s="63"/>
      <c r="P213" s="63"/>
      <c r="Q213" s="63"/>
      <c r="R213" s="61" t="b">
        <f t="shared" si="12"/>
        <v>1</v>
      </c>
      <c r="U213" s="59">
        <v>16409</v>
      </c>
      <c r="V213" s="59" t="s">
        <v>630</v>
      </c>
      <c r="W213" s="59">
        <v>1</v>
      </c>
    </row>
    <row r="214" spans="1:23" s="61" customFormat="1" ht="37.5" customHeight="1" x14ac:dyDescent="0.25">
      <c r="A214" s="59" t="str">
        <f t="shared" si="13"/>
        <v>920   Филиал ФГБОУ ВО "ВГУЭС" в г. Артеме</v>
      </c>
      <c r="B214" s="82">
        <v>16409</v>
      </c>
      <c r="C214" s="59" t="s">
        <v>392</v>
      </c>
      <c r="D214" s="83">
        <f t="shared" si="14"/>
        <v>1</v>
      </c>
      <c r="E214" s="75"/>
      <c r="F214" s="69"/>
      <c r="G214" s="69"/>
      <c r="H214" s="69"/>
      <c r="I214" s="69"/>
      <c r="J214" s="69"/>
      <c r="K214" s="69"/>
      <c r="L214" s="69"/>
      <c r="M214" s="69"/>
      <c r="N214" s="69"/>
      <c r="O214" s="63"/>
      <c r="P214" s="63"/>
      <c r="Q214" s="63"/>
      <c r="R214" s="61" t="b">
        <f t="shared" si="12"/>
        <v>1</v>
      </c>
      <c r="U214" s="59">
        <v>16410</v>
      </c>
      <c r="V214" s="59" t="s">
        <v>630</v>
      </c>
      <c r="W214" s="59">
        <v>0.2</v>
      </c>
    </row>
    <row r="215" spans="1:23" s="61" customFormat="1" ht="37.5" customHeight="1" x14ac:dyDescent="0.25">
      <c r="A215" s="59" t="str">
        <f t="shared" si="13"/>
        <v>920   Филиал ФГБОУ ВО "ВГУЭС" в г. Артеме</v>
      </c>
      <c r="B215" s="82">
        <v>16410</v>
      </c>
      <c r="C215" s="59" t="s">
        <v>508</v>
      </c>
      <c r="D215" s="83">
        <f t="shared" si="14"/>
        <v>0.2</v>
      </c>
      <c r="E215" s="75"/>
      <c r="F215" s="69"/>
      <c r="G215" s="69"/>
      <c r="H215" s="69"/>
      <c r="I215" s="69"/>
      <c r="J215" s="69"/>
      <c r="K215" s="69"/>
      <c r="L215" s="69"/>
      <c r="M215" s="69"/>
      <c r="N215" s="69"/>
      <c r="O215" s="63"/>
      <c r="P215" s="63"/>
      <c r="Q215" s="63"/>
      <c r="R215" s="61" t="b">
        <f t="shared" si="12"/>
        <v>1</v>
      </c>
      <c r="U215" s="59">
        <v>16412</v>
      </c>
      <c r="V215" s="59" t="s">
        <v>630</v>
      </c>
      <c r="W215" s="59">
        <v>5</v>
      </c>
    </row>
    <row r="216" spans="1:23" s="61" customFormat="1" ht="37.5" customHeight="1" x14ac:dyDescent="0.25">
      <c r="A216" s="59" t="str">
        <f t="shared" si="13"/>
        <v>920   Филиал ФГБОУ ВО "ВГУЭС" в г. Артеме</v>
      </c>
      <c r="B216" s="82">
        <v>16412</v>
      </c>
      <c r="C216" s="59" t="s">
        <v>395</v>
      </c>
      <c r="D216" s="83">
        <f t="shared" si="14"/>
        <v>5</v>
      </c>
      <c r="E216" s="75"/>
      <c r="F216" s="69"/>
      <c r="G216" s="69"/>
      <c r="H216" s="69"/>
      <c r="I216" s="69"/>
      <c r="J216" s="69"/>
      <c r="K216" s="69"/>
      <c r="L216" s="69"/>
      <c r="M216" s="69"/>
      <c r="N216" s="69"/>
      <c r="O216" s="63"/>
      <c r="P216" s="63"/>
      <c r="Q216" s="63"/>
      <c r="R216" s="61" t="b">
        <f t="shared" si="12"/>
        <v>1</v>
      </c>
      <c r="U216" s="59">
        <v>16413</v>
      </c>
      <c r="V216" s="59" t="s">
        <v>630</v>
      </c>
      <c r="W216" s="59">
        <v>18.5</v>
      </c>
    </row>
    <row r="217" spans="1:23" s="61" customFormat="1" ht="37.5" customHeight="1" x14ac:dyDescent="0.25">
      <c r="A217" s="59" t="str">
        <f t="shared" si="13"/>
        <v>920   Филиал ФГБОУ ВО "ВГУЭС" в г. Артеме</v>
      </c>
      <c r="B217" s="82">
        <v>16413</v>
      </c>
      <c r="C217" s="59" t="s">
        <v>571</v>
      </c>
      <c r="D217" s="83">
        <f t="shared" si="14"/>
        <v>18.5</v>
      </c>
      <c r="E217" s="75"/>
      <c r="F217" s="69"/>
      <c r="G217" s="69"/>
      <c r="H217" s="69"/>
      <c r="I217" s="69"/>
      <c r="J217" s="69"/>
      <c r="K217" s="69"/>
      <c r="L217" s="69"/>
      <c r="M217" s="69"/>
      <c r="N217" s="69"/>
      <c r="O217" s="63"/>
      <c r="P217" s="63"/>
      <c r="Q217" s="63"/>
      <c r="R217" s="61" t="b">
        <f t="shared" si="12"/>
        <v>1</v>
      </c>
      <c r="U217" s="59">
        <v>16414</v>
      </c>
      <c r="V217" s="59" t="s">
        <v>630</v>
      </c>
      <c r="W217" s="59">
        <v>4.75</v>
      </c>
    </row>
    <row r="218" spans="1:23" s="61" customFormat="1" ht="37.5" customHeight="1" x14ac:dyDescent="0.25">
      <c r="A218" s="59" t="str">
        <f t="shared" si="13"/>
        <v>920   Филиал ФГБОУ ВО "ВГУЭС" в г. Артеме</v>
      </c>
      <c r="B218" s="82">
        <v>16414</v>
      </c>
      <c r="C218" s="59" t="s">
        <v>399</v>
      </c>
      <c r="D218" s="83">
        <f t="shared" si="14"/>
        <v>4.75</v>
      </c>
      <c r="E218" s="76"/>
      <c r="F218" s="69"/>
      <c r="G218" s="69"/>
      <c r="H218" s="69"/>
      <c r="I218" s="69"/>
      <c r="J218" s="69"/>
      <c r="K218" s="69"/>
      <c r="L218" s="69"/>
      <c r="M218" s="69"/>
      <c r="N218" s="69"/>
      <c r="O218" s="63"/>
      <c r="P218" s="63"/>
      <c r="Q218" s="63"/>
      <c r="R218" s="61" t="b">
        <f t="shared" si="12"/>
        <v>1</v>
      </c>
      <c r="U218" s="59">
        <v>179</v>
      </c>
      <c r="V218" s="59" t="s">
        <v>631</v>
      </c>
      <c r="W218" s="59">
        <v>40.5</v>
      </c>
    </row>
    <row r="219" spans="1:23" s="61" customFormat="1" ht="37.5" customHeight="1" x14ac:dyDescent="0.25">
      <c r="A219" s="59" t="str">
        <f t="shared" si="13"/>
        <v>910   Филиал ФГБОУ ВО "ВГУЭС" в г. Уссурийске</v>
      </c>
      <c r="B219" s="82">
        <v>179</v>
      </c>
      <c r="C219" s="59" t="s">
        <v>572</v>
      </c>
      <c r="D219" s="83">
        <f t="shared" si="14"/>
        <v>40.5</v>
      </c>
      <c r="E219" s="75"/>
      <c r="F219" s="69"/>
      <c r="G219" s="69"/>
      <c r="H219" s="69"/>
      <c r="I219" s="69"/>
      <c r="J219" s="69"/>
      <c r="K219" s="69"/>
      <c r="L219" s="69"/>
      <c r="M219" s="69"/>
      <c r="N219" s="69"/>
      <c r="O219" s="63"/>
      <c r="P219" s="63"/>
      <c r="Q219" s="63"/>
      <c r="R219" s="61" t="b">
        <f t="shared" si="12"/>
        <v>1</v>
      </c>
      <c r="U219" s="59">
        <v>1791</v>
      </c>
      <c r="V219" s="59" t="s">
        <v>632</v>
      </c>
      <c r="W219" s="59">
        <v>2</v>
      </c>
    </row>
    <row r="220" spans="1:23" s="61" customFormat="1" ht="37.5" customHeight="1" x14ac:dyDescent="0.25">
      <c r="A220" s="59" t="str">
        <f t="shared" si="13"/>
        <v>915   Филиал ФГБОУ ВО "ВГУЭС" в г. Уссурийске (Пед. Институт)</v>
      </c>
      <c r="B220" s="82">
        <v>1791</v>
      </c>
      <c r="C220" s="59" t="s">
        <v>403</v>
      </c>
      <c r="D220" s="83">
        <f t="shared" si="14"/>
        <v>2</v>
      </c>
      <c r="E220" s="75"/>
      <c r="F220" s="69"/>
      <c r="G220" s="69"/>
      <c r="H220" s="69"/>
      <c r="I220" s="69"/>
      <c r="J220" s="69"/>
      <c r="K220" s="69"/>
      <c r="L220" s="69"/>
      <c r="M220" s="69"/>
      <c r="N220" s="69"/>
      <c r="O220" s="63"/>
      <c r="P220" s="63"/>
      <c r="Q220" s="63"/>
      <c r="R220" s="61" t="b">
        <f t="shared" si="12"/>
        <v>1</v>
      </c>
      <c r="U220" s="59">
        <v>1792</v>
      </c>
      <c r="V220" s="59" t="s">
        <v>632</v>
      </c>
      <c r="W220" s="59">
        <v>20.5</v>
      </c>
    </row>
    <row r="221" spans="1:23" s="61" customFormat="1" ht="37.5" customHeight="1" x14ac:dyDescent="0.25">
      <c r="A221" s="59" t="str">
        <f t="shared" si="13"/>
        <v>915   Филиал ФГБОУ ВО "ВГУЭС" в г. Уссурийске (Пед. Институт)</v>
      </c>
      <c r="B221" s="82">
        <v>1792</v>
      </c>
      <c r="C221" s="59" t="s">
        <v>573</v>
      </c>
      <c r="D221" s="83">
        <f t="shared" si="14"/>
        <v>20.5</v>
      </c>
      <c r="E221" s="75"/>
      <c r="F221" s="69"/>
      <c r="G221" s="69"/>
      <c r="H221" s="69"/>
      <c r="I221" s="69"/>
      <c r="J221" s="69"/>
      <c r="K221" s="69"/>
      <c r="L221" s="69"/>
      <c r="M221" s="69"/>
      <c r="N221" s="69"/>
      <c r="O221" s="63"/>
      <c r="P221" s="63"/>
      <c r="Q221" s="63"/>
      <c r="R221" s="61" t="b">
        <f t="shared" si="12"/>
        <v>1</v>
      </c>
      <c r="U221" s="59">
        <v>1793</v>
      </c>
      <c r="V221" s="59" t="s">
        <v>632</v>
      </c>
      <c r="W221" s="59">
        <v>3</v>
      </c>
    </row>
    <row r="222" spans="1:23" s="61" customFormat="1" ht="37.5" customHeight="1" x14ac:dyDescent="0.25">
      <c r="A222" s="59" t="str">
        <f t="shared" si="13"/>
        <v>915   Филиал ФГБОУ ВО "ВГУЭС" в г. Уссурийске (Пед. Институт)</v>
      </c>
      <c r="B222" s="82">
        <v>1793</v>
      </c>
      <c r="C222" s="59" t="s">
        <v>407</v>
      </c>
      <c r="D222" s="83">
        <f t="shared" si="14"/>
        <v>3</v>
      </c>
      <c r="E222" s="76"/>
      <c r="F222" s="69"/>
      <c r="G222" s="69"/>
      <c r="H222" s="69"/>
      <c r="I222" s="69"/>
      <c r="J222" s="69"/>
      <c r="K222" s="69"/>
      <c r="L222" s="69"/>
      <c r="M222" s="69"/>
      <c r="N222" s="69"/>
      <c r="O222" s="63"/>
      <c r="P222" s="63"/>
      <c r="Q222" s="63"/>
      <c r="R222" s="61" t="b">
        <f t="shared" si="12"/>
        <v>1</v>
      </c>
      <c r="U222" s="59">
        <v>1794</v>
      </c>
      <c r="V222" s="59" t="s">
        <v>632</v>
      </c>
      <c r="W222" s="59">
        <v>11</v>
      </c>
    </row>
    <row r="223" spans="1:23" s="61" customFormat="1" ht="37.5" customHeight="1" x14ac:dyDescent="0.25">
      <c r="A223" s="59" t="str">
        <f t="shared" si="13"/>
        <v>915   Филиал ФГБОУ ВО "ВГУЭС" в г. Уссурийске (Пед. Институт)</v>
      </c>
      <c r="B223" s="82">
        <v>1794</v>
      </c>
      <c r="C223" s="59" t="s">
        <v>395</v>
      </c>
      <c r="D223" s="83">
        <f t="shared" si="14"/>
        <v>11</v>
      </c>
      <c r="E223" s="71"/>
      <c r="R223" s="61" t="b">
        <f t="shared" si="12"/>
        <v>1</v>
      </c>
      <c r="U223" s="59">
        <v>1795</v>
      </c>
      <c r="V223" s="59" t="s">
        <v>632</v>
      </c>
      <c r="W223" s="59">
        <v>9.9999999999999978E-2</v>
      </c>
    </row>
    <row r="224" spans="1:23" ht="31.5" x14ac:dyDescent="0.25">
      <c r="A224" s="59" t="str">
        <f t="shared" si="13"/>
        <v>915   Филиал ФГБОУ ВО "ВГУЭС" в г. Уссурийске (Пед. Институт)</v>
      </c>
      <c r="B224" s="82">
        <v>1795</v>
      </c>
      <c r="C224" s="59" t="s">
        <v>410</v>
      </c>
      <c r="D224" s="83">
        <f t="shared" si="14"/>
        <v>9.9999999999999978E-2</v>
      </c>
      <c r="U224" s="62" t="s">
        <v>576</v>
      </c>
      <c r="V224" s="62"/>
      <c r="W224" s="62">
        <f>SUBTOTAL(9,W4:W223)</f>
        <v>1551.6499999999999</v>
      </c>
    </row>
    <row r="234" spans="4:4" x14ac:dyDescent="0.25">
      <c r="D234" s="64">
        <f>SUM(D5:D224)</f>
        <v>1551.6499999999999</v>
      </c>
    </row>
  </sheetData>
  <autoFilter ref="A3:W223">
    <filterColumn colId="14" showButton="0"/>
    <filterColumn colId="15" showButton="0"/>
  </autoFilter>
  <mergeCells count="15">
    <mergeCell ref="K98:K100"/>
    <mergeCell ref="L98:L100"/>
    <mergeCell ref="M98:M100"/>
    <mergeCell ref="N98:N100"/>
    <mergeCell ref="E66:E68"/>
    <mergeCell ref="F98:F100"/>
    <mergeCell ref="G98:G100"/>
    <mergeCell ref="H98:H100"/>
    <mergeCell ref="I98:I100"/>
    <mergeCell ref="J98:J100"/>
    <mergeCell ref="O3:Q3"/>
    <mergeCell ref="E4:Q4"/>
    <mergeCell ref="E5:Q5"/>
    <mergeCell ref="E21:E29"/>
    <mergeCell ref="E43:E46"/>
  </mergeCells>
  <pageMargins left="0.51181102362204722" right="0.39370078740157483" top="0.8" bottom="0.59" header="0" footer="0"/>
  <pageSetup paperSize="9" scale="76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E1:T226"/>
  <sheetViews>
    <sheetView zoomScale="82" zoomScaleNormal="82" workbookViewId="0">
      <pane ySplit="4" topLeftCell="A11" activePane="bottomLeft" state="frozen"/>
      <selection activeCell="V5" sqref="V5"/>
      <selection pane="bottomLeft" activeCell="V5" sqref="V5"/>
    </sheetView>
  </sheetViews>
  <sheetFormatPr defaultRowHeight="15" x14ac:dyDescent="0.25"/>
  <cols>
    <col min="5" max="5" width="20.28515625" style="46" customWidth="1"/>
    <col min="6" max="6" width="39.7109375" style="47" customWidth="1"/>
    <col min="7" max="7" width="10.28515625" bestFit="1" customWidth="1"/>
    <col min="8" max="8" width="10.5703125" customWidth="1"/>
  </cols>
  <sheetData>
    <row r="1" spans="5:20" ht="38.25" x14ac:dyDescent="0.25">
      <c r="E1" s="148" t="s">
        <v>0</v>
      </c>
      <c r="F1" s="148"/>
      <c r="G1" s="148"/>
      <c r="H1" s="1" t="s">
        <v>1</v>
      </c>
      <c r="I1" s="2" t="s">
        <v>2</v>
      </c>
      <c r="J1" s="2" t="s">
        <v>3</v>
      </c>
      <c r="K1" s="3" t="s">
        <v>4</v>
      </c>
      <c r="L1" s="3" t="s">
        <v>5</v>
      </c>
      <c r="M1" s="4" t="s">
        <v>6</v>
      </c>
      <c r="N1" s="4" t="s">
        <v>7</v>
      </c>
      <c r="O1" s="4" t="s">
        <v>8</v>
      </c>
      <c r="P1" s="4" t="s">
        <v>9</v>
      </c>
      <c r="Q1" s="4" t="s">
        <v>10</v>
      </c>
      <c r="R1" s="4" t="s">
        <v>11</v>
      </c>
      <c r="S1" s="3" t="s">
        <v>12</v>
      </c>
      <c r="T1" s="5" t="s">
        <v>13</v>
      </c>
    </row>
    <row r="2" spans="5:20" ht="51" x14ac:dyDescent="0.25">
      <c r="E2" s="6"/>
      <c r="F2" s="7"/>
      <c r="G2" s="8" t="s">
        <v>14</v>
      </c>
      <c r="H2" s="9" t="s">
        <v>15</v>
      </c>
      <c r="I2" s="9" t="s">
        <v>16</v>
      </c>
      <c r="J2" s="9" t="s">
        <v>16</v>
      </c>
      <c r="K2" s="9" t="s">
        <v>17</v>
      </c>
      <c r="L2" s="9" t="s">
        <v>18</v>
      </c>
      <c r="M2" s="9" t="s">
        <v>18</v>
      </c>
      <c r="N2" s="9" t="s">
        <v>17</v>
      </c>
      <c r="O2" s="9" t="s">
        <v>19</v>
      </c>
      <c r="P2" s="9" t="s">
        <v>18</v>
      </c>
      <c r="Q2" s="9" t="s">
        <v>15</v>
      </c>
      <c r="R2" s="9"/>
      <c r="S2" s="9" t="s">
        <v>20</v>
      </c>
      <c r="T2" s="9" t="s">
        <v>20</v>
      </c>
    </row>
    <row r="3" spans="5:20" ht="39" customHeight="1" x14ac:dyDescent="0.25">
      <c r="E3" s="6"/>
      <c r="F3" s="7"/>
      <c r="G3" s="10" t="s">
        <v>21</v>
      </c>
      <c r="H3" s="11">
        <f>0.5</f>
        <v>0.5</v>
      </c>
      <c r="I3" s="11">
        <v>1</v>
      </c>
      <c r="J3" s="11">
        <v>1</v>
      </c>
      <c r="K3" s="11">
        <v>1</v>
      </c>
      <c r="L3" s="11">
        <v>1</v>
      </c>
      <c r="M3" s="11">
        <v>1</v>
      </c>
      <c r="N3" s="11">
        <v>1</v>
      </c>
      <c r="O3" s="11">
        <v>1</v>
      </c>
      <c r="P3" s="11">
        <v>1</v>
      </c>
      <c r="Q3" s="11">
        <v>1</v>
      </c>
      <c r="R3" s="149" t="s">
        <v>22</v>
      </c>
      <c r="S3" s="150"/>
      <c r="T3" s="151"/>
    </row>
    <row r="4" spans="5:20" ht="26.25" x14ac:dyDescent="0.25">
      <c r="E4" s="12" t="s">
        <v>23</v>
      </c>
      <c r="F4" s="13" t="s">
        <v>24</v>
      </c>
      <c r="G4" s="13" t="s">
        <v>25</v>
      </c>
      <c r="H4" s="152" t="s">
        <v>26</v>
      </c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4"/>
    </row>
    <row r="5" spans="5:20" x14ac:dyDescent="0.25">
      <c r="E5" s="14" t="s">
        <v>27</v>
      </c>
      <c r="F5" s="15" t="s">
        <v>28</v>
      </c>
      <c r="G5" s="16">
        <v>5.25</v>
      </c>
      <c r="H5" s="155" t="s">
        <v>29</v>
      </c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</row>
    <row r="6" spans="5:20" x14ac:dyDescent="0.25">
      <c r="E6" s="14" t="s">
        <v>30</v>
      </c>
      <c r="F6" s="15" t="s">
        <v>31</v>
      </c>
      <c r="G6" s="17">
        <v>4</v>
      </c>
      <c r="H6" s="18" t="b">
        <f>IF($G6*H$3&lt;=1,)</f>
        <v>0</v>
      </c>
      <c r="I6" s="19">
        <f>$G6*I$3</f>
        <v>4</v>
      </c>
      <c r="J6" s="19">
        <f t="shared" ref="J6:K6" si="0">$G6*J$3</f>
        <v>4</v>
      </c>
      <c r="K6" s="19">
        <f t="shared" si="0"/>
        <v>4</v>
      </c>
      <c r="L6" s="20">
        <f>IF($G$6&lt;=10,1,IF($G$6&gt;10,2,0))</f>
        <v>1</v>
      </c>
      <c r="M6" s="20">
        <f>IF($G$6&lt;=10,1,IF($G$6&gt;10,2,0))</f>
        <v>1</v>
      </c>
      <c r="N6" s="21">
        <f>$G6*N$3</f>
        <v>4</v>
      </c>
      <c r="O6" s="20">
        <v>1</v>
      </c>
      <c r="P6" s="20">
        <f t="shared" ref="J6:Q22" si="1">$G6*P$3</f>
        <v>4</v>
      </c>
      <c r="Q6" s="21">
        <f t="shared" si="1"/>
        <v>4</v>
      </c>
      <c r="R6" s="19"/>
      <c r="S6" s="19"/>
      <c r="T6" s="19"/>
    </row>
    <row r="7" spans="5:20" x14ac:dyDescent="0.25">
      <c r="E7" s="14" t="s">
        <v>32</v>
      </c>
      <c r="F7" s="15" t="s">
        <v>33</v>
      </c>
      <c r="G7" s="17">
        <v>0.25</v>
      </c>
      <c r="H7" s="18">
        <f>$G7*H$3</f>
        <v>0.125</v>
      </c>
      <c r="I7" s="21">
        <v>1</v>
      </c>
      <c r="J7" s="21">
        <v>1</v>
      </c>
      <c r="K7" s="21">
        <v>1</v>
      </c>
      <c r="L7" s="19">
        <v>1</v>
      </c>
      <c r="M7" s="19">
        <v>1</v>
      </c>
      <c r="N7" s="21">
        <f t="shared" ref="N7:N17" si="2">$G7*N$3</f>
        <v>0.25</v>
      </c>
      <c r="O7" s="19">
        <v>1</v>
      </c>
      <c r="P7" s="19">
        <v>1</v>
      </c>
      <c r="Q7" s="21">
        <v>1</v>
      </c>
      <c r="R7" s="22"/>
      <c r="S7" s="22"/>
      <c r="T7" s="22"/>
    </row>
    <row r="8" spans="5:20" x14ac:dyDescent="0.25">
      <c r="E8" s="14" t="s">
        <v>34</v>
      </c>
      <c r="F8" s="15" t="s">
        <v>35</v>
      </c>
      <c r="G8" s="23">
        <v>10.1</v>
      </c>
      <c r="H8" s="18">
        <f>$G8*H$3</f>
        <v>5.05</v>
      </c>
      <c r="I8" s="21">
        <f t="shared" ref="I8:Q8" si="3">$G8*I$3</f>
        <v>10.1</v>
      </c>
      <c r="J8" s="21">
        <f t="shared" si="3"/>
        <v>10.1</v>
      </c>
      <c r="K8" s="21">
        <f t="shared" si="3"/>
        <v>10.1</v>
      </c>
      <c r="L8" s="20">
        <f t="shared" si="3"/>
        <v>10.1</v>
      </c>
      <c r="M8" s="20">
        <f t="shared" si="3"/>
        <v>10.1</v>
      </c>
      <c r="N8" s="21">
        <f t="shared" si="2"/>
        <v>10.1</v>
      </c>
      <c r="O8" s="20">
        <f t="shared" si="3"/>
        <v>10.1</v>
      </c>
      <c r="P8" s="20">
        <f t="shared" si="3"/>
        <v>10.1</v>
      </c>
      <c r="Q8" s="21">
        <f t="shared" si="3"/>
        <v>10.1</v>
      </c>
      <c r="R8" s="22"/>
      <c r="S8" s="22"/>
      <c r="T8" s="22"/>
    </row>
    <row r="9" spans="5:20" ht="26.25" x14ac:dyDescent="0.25">
      <c r="E9" s="24">
        <v>100230</v>
      </c>
      <c r="F9" s="15" t="s">
        <v>36</v>
      </c>
      <c r="G9" s="17">
        <v>4.5</v>
      </c>
      <c r="H9" s="18">
        <f>$G9*H$3</f>
        <v>2.25</v>
      </c>
      <c r="I9" s="21"/>
      <c r="J9" s="21"/>
      <c r="K9" s="21"/>
      <c r="L9" s="19"/>
      <c r="M9" s="19"/>
      <c r="N9" s="21">
        <f t="shared" si="2"/>
        <v>4.5</v>
      </c>
      <c r="O9" s="19"/>
      <c r="P9" s="19"/>
      <c r="Q9" s="21"/>
      <c r="R9" s="22"/>
      <c r="S9" s="22"/>
      <c r="T9" s="22"/>
    </row>
    <row r="10" spans="5:20" ht="26.25" x14ac:dyDescent="0.25">
      <c r="E10" s="25">
        <v>100231</v>
      </c>
      <c r="F10" s="15" t="s">
        <v>37</v>
      </c>
      <c r="G10" s="26">
        <v>0.1</v>
      </c>
      <c r="H10" s="18">
        <f t="shared" ref="H10" si="4">$G10*H$3</f>
        <v>0.05</v>
      </c>
      <c r="I10" s="27"/>
      <c r="J10" s="27"/>
      <c r="K10" s="27"/>
      <c r="L10" s="27"/>
      <c r="M10" s="27"/>
      <c r="N10" s="21">
        <f t="shared" si="2"/>
        <v>0.1</v>
      </c>
      <c r="O10" s="27"/>
      <c r="P10" s="27"/>
      <c r="Q10" s="27"/>
      <c r="R10" s="27"/>
      <c r="S10" s="27"/>
      <c r="T10" s="27"/>
    </row>
    <row r="11" spans="5:20" x14ac:dyDescent="0.25">
      <c r="E11" s="14" t="s">
        <v>38</v>
      </c>
      <c r="F11" s="15" t="s">
        <v>39</v>
      </c>
      <c r="G11" s="28">
        <v>3.5</v>
      </c>
      <c r="H11" s="18">
        <v>1</v>
      </c>
      <c r="I11" s="21">
        <f t="shared" ref="I11:Q52" si="5">$G11*I$3</f>
        <v>3.5</v>
      </c>
      <c r="J11" s="21">
        <f t="shared" si="1"/>
        <v>3.5</v>
      </c>
      <c r="K11" s="21">
        <f t="shared" si="1"/>
        <v>3.5</v>
      </c>
      <c r="L11" s="20">
        <f t="shared" si="1"/>
        <v>3.5</v>
      </c>
      <c r="M11" s="20">
        <f t="shared" si="1"/>
        <v>3.5</v>
      </c>
      <c r="N11" s="21">
        <f t="shared" si="2"/>
        <v>3.5</v>
      </c>
      <c r="O11" s="20">
        <f t="shared" si="1"/>
        <v>3.5</v>
      </c>
      <c r="P11" s="20">
        <f t="shared" si="1"/>
        <v>3.5</v>
      </c>
      <c r="Q11" s="21">
        <f t="shared" si="1"/>
        <v>3.5</v>
      </c>
      <c r="R11" s="22"/>
      <c r="S11" s="22"/>
      <c r="T11" s="22"/>
    </row>
    <row r="12" spans="5:20" x14ac:dyDescent="0.25">
      <c r="E12" s="14" t="s">
        <v>40</v>
      </c>
      <c r="F12" s="15" t="s">
        <v>41</v>
      </c>
      <c r="G12" s="28">
        <v>33.65</v>
      </c>
      <c r="H12" s="18">
        <v>8</v>
      </c>
      <c r="I12" s="21">
        <f t="shared" si="5"/>
        <v>33.65</v>
      </c>
      <c r="J12" s="21">
        <f t="shared" si="1"/>
        <v>33.65</v>
      </c>
      <c r="K12" s="21">
        <f t="shared" si="1"/>
        <v>33.65</v>
      </c>
      <c r="L12" s="20">
        <f t="shared" si="1"/>
        <v>33.65</v>
      </c>
      <c r="M12" s="20">
        <f t="shared" si="1"/>
        <v>33.65</v>
      </c>
      <c r="N12" s="21">
        <f t="shared" si="2"/>
        <v>33.65</v>
      </c>
      <c r="O12" s="20">
        <f t="shared" si="1"/>
        <v>33.65</v>
      </c>
      <c r="P12" s="20">
        <f t="shared" si="1"/>
        <v>33.65</v>
      </c>
      <c r="Q12" s="21">
        <f t="shared" si="1"/>
        <v>33.65</v>
      </c>
      <c r="R12" s="22"/>
      <c r="S12" s="22"/>
      <c r="T12" s="22"/>
    </row>
    <row r="13" spans="5:20" ht="26.25" x14ac:dyDescent="0.25">
      <c r="E13" s="14" t="s">
        <v>42</v>
      </c>
      <c r="F13" s="15" t="s">
        <v>43</v>
      </c>
      <c r="G13" s="28">
        <v>8</v>
      </c>
      <c r="H13" s="18">
        <f t="shared" ref="H13" si="6">$G13*H$3</f>
        <v>4</v>
      </c>
      <c r="I13" s="21">
        <f t="shared" si="5"/>
        <v>8</v>
      </c>
      <c r="J13" s="21">
        <f t="shared" si="1"/>
        <v>8</v>
      </c>
      <c r="K13" s="21">
        <f t="shared" si="1"/>
        <v>8</v>
      </c>
      <c r="L13" s="20">
        <f t="shared" si="1"/>
        <v>8</v>
      </c>
      <c r="M13" s="20">
        <f t="shared" si="1"/>
        <v>8</v>
      </c>
      <c r="N13" s="21">
        <f t="shared" si="2"/>
        <v>8</v>
      </c>
      <c r="O13" s="20">
        <f t="shared" si="1"/>
        <v>8</v>
      </c>
      <c r="P13" s="20">
        <f t="shared" si="1"/>
        <v>8</v>
      </c>
      <c r="Q13" s="21">
        <f t="shared" si="1"/>
        <v>8</v>
      </c>
      <c r="R13" s="22"/>
      <c r="S13" s="22"/>
      <c r="T13" s="22"/>
    </row>
    <row r="14" spans="5:20" x14ac:dyDescent="0.25">
      <c r="E14" s="14" t="s">
        <v>44</v>
      </c>
      <c r="F14" s="15" t="s">
        <v>45</v>
      </c>
      <c r="G14" s="28">
        <v>2.5</v>
      </c>
      <c r="H14" s="18">
        <v>1</v>
      </c>
      <c r="I14" s="21">
        <f t="shared" si="5"/>
        <v>2.5</v>
      </c>
      <c r="J14" s="21">
        <f t="shared" si="1"/>
        <v>2.5</v>
      </c>
      <c r="K14" s="21">
        <f t="shared" si="1"/>
        <v>2.5</v>
      </c>
      <c r="L14" s="20">
        <f t="shared" si="1"/>
        <v>2.5</v>
      </c>
      <c r="M14" s="20">
        <f t="shared" si="1"/>
        <v>2.5</v>
      </c>
      <c r="N14" s="21">
        <f t="shared" si="2"/>
        <v>2.5</v>
      </c>
      <c r="O14" s="20">
        <f t="shared" si="1"/>
        <v>2.5</v>
      </c>
      <c r="P14" s="20">
        <f t="shared" si="1"/>
        <v>2.5</v>
      </c>
      <c r="Q14" s="21">
        <f t="shared" si="1"/>
        <v>2.5</v>
      </c>
      <c r="R14" s="22"/>
      <c r="S14" s="22"/>
      <c r="T14" s="22"/>
    </row>
    <row r="15" spans="5:20" x14ac:dyDescent="0.25">
      <c r="E15" s="14" t="s">
        <v>46</v>
      </c>
      <c r="F15" s="15" t="s">
        <v>47</v>
      </c>
      <c r="G15" s="28">
        <v>11</v>
      </c>
      <c r="H15" s="18">
        <v>3</v>
      </c>
      <c r="I15" s="21">
        <f>$G15*I$3</f>
        <v>11</v>
      </c>
      <c r="J15" s="21">
        <f t="shared" si="1"/>
        <v>11</v>
      </c>
      <c r="K15" s="21">
        <f t="shared" si="1"/>
        <v>11</v>
      </c>
      <c r="L15" s="20">
        <f t="shared" si="1"/>
        <v>11</v>
      </c>
      <c r="M15" s="20">
        <f t="shared" si="1"/>
        <v>11</v>
      </c>
      <c r="N15" s="21">
        <f t="shared" si="2"/>
        <v>11</v>
      </c>
      <c r="O15" s="20">
        <f t="shared" si="1"/>
        <v>11</v>
      </c>
      <c r="P15" s="20">
        <f t="shared" si="1"/>
        <v>11</v>
      </c>
      <c r="Q15" s="21">
        <f t="shared" si="1"/>
        <v>11</v>
      </c>
      <c r="R15" s="22"/>
      <c r="S15" s="22"/>
      <c r="T15" s="22"/>
    </row>
    <row r="16" spans="5:20" ht="26.25" x14ac:dyDescent="0.25">
      <c r="E16" s="14" t="s">
        <v>48</v>
      </c>
      <c r="F16" s="15" t="s">
        <v>49</v>
      </c>
      <c r="G16" s="28">
        <v>1</v>
      </c>
      <c r="H16" s="18">
        <v>1</v>
      </c>
      <c r="I16" s="21">
        <f>$G16*I$3</f>
        <v>1</v>
      </c>
      <c r="J16" s="21">
        <f t="shared" si="1"/>
        <v>1</v>
      </c>
      <c r="K16" s="21">
        <f t="shared" si="1"/>
        <v>1</v>
      </c>
      <c r="L16" s="20">
        <f t="shared" si="1"/>
        <v>1</v>
      </c>
      <c r="M16" s="20">
        <f t="shared" si="1"/>
        <v>1</v>
      </c>
      <c r="N16" s="21">
        <f t="shared" si="2"/>
        <v>1</v>
      </c>
      <c r="O16" s="20">
        <f t="shared" si="1"/>
        <v>1</v>
      </c>
      <c r="P16" s="20">
        <f t="shared" si="1"/>
        <v>1</v>
      </c>
      <c r="Q16" s="21">
        <f t="shared" si="1"/>
        <v>1</v>
      </c>
      <c r="R16" s="22"/>
      <c r="S16" s="22"/>
      <c r="T16" s="22"/>
    </row>
    <row r="17" spans="5:20" ht="26.25" x14ac:dyDescent="0.25">
      <c r="E17" s="24">
        <v>100410</v>
      </c>
      <c r="F17" s="15" t="s">
        <v>50</v>
      </c>
      <c r="G17" s="29">
        <v>0</v>
      </c>
      <c r="I17" s="30">
        <f>$G17*I$3</f>
        <v>0</v>
      </c>
      <c r="J17" s="30">
        <f t="shared" si="1"/>
        <v>0</v>
      </c>
      <c r="K17" s="30">
        <f t="shared" si="1"/>
        <v>0</v>
      </c>
      <c r="L17" s="31">
        <f t="shared" si="1"/>
        <v>0</v>
      </c>
      <c r="M17" s="31">
        <f t="shared" si="1"/>
        <v>0</v>
      </c>
      <c r="N17" s="21">
        <f t="shared" si="2"/>
        <v>0</v>
      </c>
      <c r="O17" s="31">
        <f t="shared" si="1"/>
        <v>0</v>
      </c>
      <c r="P17" s="31">
        <f t="shared" si="1"/>
        <v>0</v>
      </c>
      <c r="Q17" s="30">
        <f t="shared" si="1"/>
        <v>0</v>
      </c>
    </row>
    <row r="18" spans="5:20" ht="26.25" x14ac:dyDescent="0.25">
      <c r="E18" s="14" t="s">
        <v>51</v>
      </c>
      <c r="F18" s="15" t="s">
        <v>52</v>
      </c>
      <c r="G18" s="28">
        <v>2</v>
      </c>
      <c r="H18" s="18">
        <v>1</v>
      </c>
      <c r="I18" s="21">
        <f t="shared" si="5"/>
        <v>2</v>
      </c>
      <c r="J18" s="21">
        <f t="shared" si="1"/>
        <v>2</v>
      </c>
      <c r="K18" s="21">
        <f t="shared" si="1"/>
        <v>2</v>
      </c>
      <c r="L18" s="20">
        <f t="shared" si="1"/>
        <v>2</v>
      </c>
      <c r="M18" s="20">
        <f t="shared" si="1"/>
        <v>2</v>
      </c>
      <c r="N18" s="21">
        <f t="shared" si="1"/>
        <v>2</v>
      </c>
      <c r="O18" s="20">
        <f t="shared" si="1"/>
        <v>2</v>
      </c>
      <c r="P18" s="20">
        <f t="shared" si="1"/>
        <v>2</v>
      </c>
      <c r="Q18" s="21">
        <f t="shared" si="1"/>
        <v>2</v>
      </c>
      <c r="R18" s="22"/>
      <c r="S18" s="22"/>
      <c r="T18" s="22"/>
    </row>
    <row r="19" spans="5:20" x14ac:dyDescent="0.25">
      <c r="E19" s="14" t="s">
        <v>53</v>
      </c>
      <c r="F19" s="15" t="s">
        <v>54</v>
      </c>
      <c r="G19" s="28">
        <v>9</v>
      </c>
      <c r="H19" s="18">
        <v>2</v>
      </c>
      <c r="I19" s="21">
        <f t="shared" si="5"/>
        <v>9</v>
      </c>
      <c r="J19" s="21">
        <f t="shared" si="1"/>
        <v>9</v>
      </c>
      <c r="K19" s="21">
        <f t="shared" si="1"/>
        <v>9</v>
      </c>
      <c r="L19" s="20">
        <f t="shared" si="1"/>
        <v>9</v>
      </c>
      <c r="M19" s="20">
        <f t="shared" si="1"/>
        <v>9</v>
      </c>
      <c r="N19" s="21">
        <f t="shared" si="1"/>
        <v>9</v>
      </c>
      <c r="O19" s="20">
        <f t="shared" si="1"/>
        <v>9</v>
      </c>
      <c r="P19" s="20">
        <f t="shared" si="1"/>
        <v>9</v>
      </c>
      <c r="Q19" s="21">
        <f t="shared" si="1"/>
        <v>9</v>
      </c>
      <c r="R19" s="22"/>
      <c r="S19" s="22"/>
      <c r="T19" s="22"/>
    </row>
    <row r="20" spans="5:20" ht="26.25" x14ac:dyDescent="0.25">
      <c r="E20" s="14" t="s">
        <v>55</v>
      </c>
      <c r="F20" s="15" t="s">
        <v>56</v>
      </c>
      <c r="G20" s="28">
        <v>5.5</v>
      </c>
      <c r="H20" s="18">
        <v>2</v>
      </c>
      <c r="I20" s="21">
        <f>$G20*I$3*2.2</f>
        <v>12.100000000000001</v>
      </c>
      <c r="J20" s="21">
        <f t="shared" si="1"/>
        <v>5.5</v>
      </c>
      <c r="K20" s="21">
        <f t="shared" si="1"/>
        <v>5.5</v>
      </c>
      <c r="L20" s="20">
        <f t="shared" si="1"/>
        <v>5.5</v>
      </c>
      <c r="M20" s="20">
        <f t="shared" si="1"/>
        <v>5.5</v>
      </c>
      <c r="N20" s="21">
        <f t="shared" si="1"/>
        <v>5.5</v>
      </c>
      <c r="O20" s="20">
        <f t="shared" si="1"/>
        <v>5.5</v>
      </c>
      <c r="P20" s="20">
        <f t="shared" si="1"/>
        <v>5.5</v>
      </c>
      <c r="Q20" s="21">
        <f t="shared" si="1"/>
        <v>5.5</v>
      </c>
      <c r="R20" s="22"/>
      <c r="S20" s="22"/>
      <c r="T20" s="22"/>
    </row>
    <row r="21" spans="5:20" ht="26.25" x14ac:dyDescent="0.25">
      <c r="E21" s="14" t="s">
        <v>57</v>
      </c>
      <c r="F21" s="15" t="s">
        <v>58</v>
      </c>
      <c r="G21" s="28">
        <v>1</v>
      </c>
      <c r="H21" s="144">
        <v>3</v>
      </c>
      <c r="I21" s="21">
        <f t="shared" si="5"/>
        <v>1</v>
      </c>
      <c r="J21" s="21">
        <f t="shared" si="1"/>
        <v>1</v>
      </c>
      <c r="K21" s="21">
        <f t="shared" si="1"/>
        <v>1</v>
      </c>
      <c r="L21" s="20">
        <f t="shared" si="1"/>
        <v>1</v>
      </c>
      <c r="M21" s="20">
        <f t="shared" si="1"/>
        <v>1</v>
      </c>
      <c r="N21" s="21">
        <f t="shared" si="1"/>
        <v>1</v>
      </c>
      <c r="O21" s="20">
        <f t="shared" si="1"/>
        <v>1</v>
      </c>
      <c r="P21" s="20">
        <f t="shared" si="1"/>
        <v>1</v>
      </c>
      <c r="Q21" s="21">
        <f t="shared" si="1"/>
        <v>1</v>
      </c>
      <c r="R21" s="22"/>
      <c r="S21" s="22"/>
      <c r="T21" s="22"/>
    </row>
    <row r="22" spans="5:20" ht="26.25" x14ac:dyDescent="0.25">
      <c r="E22" s="14" t="s">
        <v>59</v>
      </c>
      <c r="F22" s="15" t="s">
        <v>60</v>
      </c>
      <c r="G22" s="28">
        <v>1</v>
      </c>
      <c r="H22" s="147"/>
      <c r="I22" s="21">
        <f t="shared" si="5"/>
        <v>1</v>
      </c>
      <c r="J22" s="21">
        <f t="shared" si="1"/>
        <v>1</v>
      </c>
      <c r="K22" s="21">
        <f t="shared" si="1"/>
        <v>1</v>
      </c>
      <c r="L22" s="20">
        <f t="shared" si="1"/>
        <v>1</v>
      </c>
      <c r="M22" s="20">
        <f t="shared" si="1"/>
        <v>1</v>
      </c>
      <c r="N22" s="21">
        <f t="shared" si="1"/>
        <v>1</v>
      </c>
      <c r="O22" s="20">
        <f t="shared" si="1"/>
        <v>1</v>
      </c>
      <c r="P22" s="20">
        <f t="shared" si="1"/>
        <v>1</v>
      </c>
      <c r="Q22" s="21">
        <f t="shared" si="1"/>
        <v>1</v>
      </c>
      <c r="R22" s="22"/>
      <c r="S22" s="22"/>
      <c r="T22" s="22"/>
    </row>
    <row r="23" spans="5:20" ht="26.25" x14ac:dyDescent="0.25">
      <c r="E23" s="14" t="s">
        <v>61</v>
      </c>
      <c r="F23" s="15" t="s">
        <v>62</v>
      </c>
      <c r="G23" s="28">
        <v>1</v>
      </c>
      <c r="H23" s="147"/>
      <c r="I23" s="21">
        <f t="shared" si="5"/>
        <v>1</v>
      </c>
      <c r="J23" s="21">
        <f t="shared" si="5"/>
        <v>1</v>
      </c>
      <c r="K23" s="21">
        <f t="shared" si="5"/>
        <v>1</v>
      </c>
      <c r="L23" s="20">
        <f t="shared" si="5"/>
        <v>1</v>
      </c>
      <c r="M23" s="20">
        <f t="shared" si="5"/>
        <v>1</v>
      </c>
      <c r="N23" s="21">
        <f t="shared" si="5"/>
        <v>1</v>
      </c>
      <c r="O23" s="20">
        <f t="shared" si="5"/>
        <v>1</v>
      </c>
      <c r="P23" s="20">
        <f t="shared" si="5"/>
        <v>1</v>
      </c>
      <c r="Q23" s="21">
        <f t="shared" si="5"/>
        <v>1</v>
      </c>
      <c r="R23" s="22"/>
      <c r="S23" s="22"/>
      <c r="T23" s="22"/>
    </row>
    <row r="24" spans="5:20" ht="26.25" x14ac:dyDescent="0.25">
      <c r="E24" s="14" t="s">
        <v>63</v>
      </c>
      <c r="F24" s="15" t="s">
        <v>64</v>
      </c>
      <c r="G24" s="28">
        <v>1</v>
      </c>
      <c r="H24" s="147"/>
      <c r="I24" s="21">
        <f t="shared" si="5"/>
        <v>1</v>
      </c>
      <c r="J24" s="21">
        <f t="shared" si="5"/>
        <v>1</v>
      </c>
      <c r="K24" s="21">
        <f t="shared" si="5"/>
        <v>1</v>
      </c>
      <c r="L24" s="20">
        <f t="shared" si="5"/>
        <v>1</v>
      </c>
      <c r="M24" s="20">
        <f t="shared" si="5"/>
        <v>1</v>
      </c>
      <c r="N24" s="21">
        <f t="shared" si="5"/>
        <v>1</v>
      </c>
      <c r="O24" s="20">
        <f t="shared" si="5"/>
        <v>1</v>
      </c>
      <c r="P24" s="20">
        <f t="shared" si="5"/>
        <v>1</v>
      </c>
      <c r="Q24" s="21">
        <f t="shared" si="5"/>
        <v>1</v>
      </c>
      <c r="R24" s="22"/>
      <c r="S24" s="22"/>
      <c r="T24" s="22"/>
    </row>
    <row r="25" spans="5:20" ht="26.25" x14ac:dyDescent="0.25">
      <c r="E25" s="14" t="s">
        <v>65</v>
      </c>
      <c r="F25" s="15" t="s">
        <v>66</v>
      </c>
      <c r="G25" s="28">
        <v>1</v>
      </c>
      <c r="H25" s="147"/>
      <c r="I25" s="21">
        <f t="shared" si="5"/>
        <v>1</v>
      </c>
      <c r="J25" s="21">
        <f t="shared" si="5"/>
        <v>1</v>
      </c>
      <c r="K25" s="21">
        <f t="shared" si="5"/>
        <v>1</v>
      </c>
      <c r="L25" s="20">
        <f t="shared" si="5"/>
        <v>1</v>
      </c>
      <c r="M25" s="20">
        <f t="shared" si="5"/>
        <v>1</v>
      </c>
      <c r="N25" s="21">
        <f t="shared" si="5"/>
        <v>1</v>
      </c>
      <c r="O25" s="20">
        <f t="shared" si="5"/>
        <v>1</v>
      </c>
      <c r="P25" s="20">
        <f t="shared" si="5"/>
        <v>1</v>
      </c>
      <c r="Q25" s="21">
        <f t="shared" si="5"/>
        <v>1</v>
      </c>
      <c r="R25" s="22"/>
      <c r="S25" s="22"/>
      <c r="T25" s="22"/>
    </row>
    <row r="26" spans="5:20" ht="26.25" x14ac:dyDescent="0.25">
      <c r="E26" s="14" t="s">
        <v>67</v>
      </c>
      <c r="F26" s="15" t="s">
        <v>68</v>
      </c>
      <c r="G26" s="28">
        <v>1.75</v>
      </c>
      <c r="H26" s="147"/>
      <c r="I26" s="21">
        <f t="shared" si="5"/>
        <v>1.75</v>
      </c>
      <c r="J26" s="21">
        <f t="shared" si="5"/>
        <v>1.75</v>
      </c>
      <c r="K26" s="21">
        <f t="shared" si="5"/>
        <v>1.75</v>
      </c>
      <c r="L26" s="20">
        <f t="shared" si="5"/>
        <v>1.75</v>
      </c>
      <c r="M26" s="20">
        <f t="shared" si="5"/>
        <v>1.75</v>
      </c>
      <c r="N26" s="21">
        <f t="shared" si="5"/>
        <v>1.75</v>
      </c>
      <c r="O26" s="20">
        <f t="shared" si="5"/>
        <v>1.75</v>
      </c>
      <c r="P26" s="20">
        <f t="shared" si="5"/>
        <v>1.75</v>
      </c>
      <c r="Q26" s="21">
        <f t="shared" si="5"/>
        <v>1.75</v>
      </c>
      <c r="R26" s="22"/>
      <c r="S26" s="22"/>
      <c r="T26" s="22"/>
    </row>
    <row r="27" spans="5:20" ht="26.25" x14ac:dyDescent="0.25">
      <c r="E27" s="14" t="s">
        <v>69</v>
      </c>
      <c r="F27" s="15" t="s">
        <v>70</v>
      </c>
      <c r="G27" s="28">
        <v>2.75</v>
      </c>
      <c r="H27" s="147"/>
      <c r="I27" s="21">
        <f t="shared" si="5"/>
        <v>2.75</v>
      </c>
      <c r="J27" s="21">
        <f t="shared" si="5"/>
        <v>2.75</v>
      </c>
      <c r="K27" s="21">
        <f t="shared" si="5"/>
        <v>2.75</v>
      </c>
      <c r="L27" s="20">
        <f t="shared" si="5"/>
        <v>2.75</v>
      </c>
      <c r="M27" s="20">
        <f t="shared" si="5"/>
        <v>2.75</v>
      </c>
      <c r="N27" s="21">
        <f t="shared" si="5"/>
        <v>2.75</v>
      </c>
      <c r="O27" s="20">
        <f t="shared" si="5"/>
        <v>2.75</v>
      </c>
      <c r="P27" s="20">
        <f t="shared" si="5"/>
        <v>2.75</v>
      </c>
      <c r="Q27" s="21">
        <f t="shared" si="5"/>
        <v>2.75</v>
      </c>
      <c r="R27" s="22"/>
      <c r="S27" s="22"/>
      <c r="T27" s="22"/>
    </row>
    <row r="28" spans="5:20" ht="26.25" x14ac:dyDescent="0.25">
      <c r="E28" s="14" t="s">
        <v>71</v>
      </c>
      <c r="F28" s="15" t="s">
        <v>72</v>
      </c>
      <c r="G28" s="28">
        <v>1</v>
      </c>
      <c r="H28" s="147"/>
      <c r="I28" s="21">
        <f t="shared" si="5"/>
        <v>1</v>
      </c>
      <c r="J28" s="21">
        <f t="shared" si="5"/>
        <v>1</v>
      </c>
      <c r="K28" s="21">
        <f t="shared" si="5"/>
        <v>1</v>
      </c>
      <c r="L28" s="20">
        <f t="shared" si="5"/>
        <v>1</v>
      </c>
      <c r="M28" s="20">
        <f t="shared" si="5"/>
        <v>1</v>
      </c>
      <c r="N28" s="21">
        <f t="shared" si="5"/>
        <v>1</v>
      </c>
      <c r="O28" s="20">
        <f t="shared" si="5"/>
        <v>1</v>
      </c>
      <c r="P28" s="20">
        <f t="shared" si="5"/>
        <v>1</v>
      </c>
      <c r="Q28" s="21">
        <f t="shared" si="5"/>
        <v>1</v>
      </c>
      <c r="R28" s="22"/>
      <c r="S28" s="22"/>
      <c r="T28" s="22"/>
    </row>
    <row r="29" spans="5:20" ht="26.25" x14ac:dyDescent="0.25">
      <c r="E29" s="14" t="s">
        <v>73</v>
      </c>
      <c r="F29" s="15" t="s">
        <v>74</v>
      </c>
      <c r="G29" s="28">
        <v>0.75</v>
      </c>
      <c r="H29" s="146"/>
      <c r="I29" s="21">
        <f t="shared" si="5"/>
        <v>0.75</v>
      </c>
      <c r="J29" s="21">
        <f t="shared" si="5"/>
        <v>0.75</v>
      </c>
      <c r="K29" s="21">
        <f t="shared" si="5"/>
        <v>0.75</v>
      </c>
      <c r="L29" s="19">
        <f t="shared" si="5"/>
        <v>0.75</v>
      </c>
      <c r="M29" s="19">
        <f t="shared" si="5"/>
        <v>0.75</v>
      </c>
      <c r="N29" s="21">
        <f t="shared" si="5"/>
        <v>0.75</v>
      </c>
      <c r="O29" s="20">
        <f t="shared" si="5"/>
        <v>0.75</v>
      </c>
      <c r="P29" s="19">
        <f t="shared" si="5"/>
        <v>0.75</v>
      </c>
      <c r="Q29" s="21">
        <f t="shared" si="5"/>
        <v>0.75</v>
      </c>
      <c r="R29" s="22"/>
      <c r="S29" s="22"/>
      <c r="T29" s="22"/>
    </row>
    <row r="30" spans="5:20" x14ac:dyDescent="0.25">
      <c r="E30" s="24">
        <v>100818</v>
      </c>
      <c r="F30" s="32" t="s">
        <v>75</v>
      </c>
      <c r="G30" s="28">
        <v>3</v>
      </c>
      <c r="H30" s="18">
        <v>1</v>
      </c>
      <c r="I30" s="21">
        <f t="shared" si="5"/>
        <v>3</v>
      </c>
      <c r="J30" s="21">
        <f t="shared" si="5"/>
        <v>3</v>
      </c>
      <c r="K30" s="21">
        <f t="shared" si="5"/>
        <v>3</v>
      </c>
      <c r="L30" s="20">
        <f t="shared" si="5"/>
        <v>3</v>
      </c>
      <c r="M30" s="20">
        <f t="shared" si="5"/>
        <v>3</v>
      </c>
      <c r="N30" s="21">
        <f t="shared" si="5"/>
        <v>3</v>
      </c>
      <c r="O30" s="20">
        <f t="shared" si="5"/>
        <v>3</v>
      </c>
      <c r="P30" s="20">
        <f t="shared" si="5"/>
        <v>3</v>
      </c>
      <c r="Q30" s="21">
        <f t="shared" si="5"/>
        <v>3</v>
      </c>
      <c r="R30" s="22"/>
      <c r="S30" s="22"/>
      <c r="T30" s="22"/>
    </row>
    <row r="31" spans="5:20" x14ac:dyDescent="0.25">
      <c r="E31" s="14" t="s">
        <v>76</v>
      </c>
      <c r="F31" s="15" t="s">
        <v>77</v>
      </c>
      <c r="G31" s="28">
        <v>4.25</v>
      </c>
      <c r="H31" s="18">
        <v>5</v>
      </c>
      <c r="I31" s="21">
        <f t="shared" si="5"/>
        <v>4.25</v>
      </c>
      <c r="J31" s="21">
        <f t="shared" si="5"/>
        <v>4.25</v>
      </c>
      <c r="K31" s="21">
        <f t="shared" si="5"/>
        <v>4.25</v>
      </c>
      <c r="L31" s="20">
        <f t="shared" si="5"/>
        <v>4.25</v>
      </c>
      <c r="M31" s="20">
        <f t="shared" si="5"/>
        <v>4.25</v>
      </c>
      <c r="N31" s="21">
        <f t="shared" si="5"/>
        <v>4.25</v>
      </c>
      <c r="O31" s="20">
        <f t="shared" si="5"/>
        <v>4.25</v>
      </c>
      <c r="P31" s="20">
        <f t="shared" si="5"/>
        <v>4.25</v>
      </c>
      <c r="Q31" s="21">
        <f t="shared" si="5"/>
        <v>4.25</v>
      </c>
      <c r="R31" s="22"/>
      <c r="S31" s="22"/>
      <c r="T31" s="22"/>
    </row>
    <row r="32" spans="5:20" ht="26.25" x14ac:dyDescent="0.25">
      <c r="E32" s="14" t="s">
        <v>78</v>
      </c>
      <c r="F32" s="15" t="s">
        <v>79</v>
      </c>
      <c r="G32" s="28">
        <v>13</v>
      </c>
      <c r="H32" s="18">
        <f>ROUNDDOWN(G32*$H$3,0)</f>
        <v>6</v>
      </c>
      <c r="I32" s="21">
        <f t="shared" si="5"/>
        <v>13</v>
      </c>
      <c r="J32" s="21">
        <f t="shared" si="5"/>
        <v>13</v>
      </c>
      <c r="K32" s="21">
        <f t="shared" si="5"/>
        <v>13</v>
      </c>
      <c r="L32" s="20">
        <f t="shared" si="5"/>
        <v>13</v>
      </c>
      <c r="M32" s="20">
        <f t="shared" si="5"/>
        <v>13</v>
      </c>
      <c r="N32" s="21">
        <f t="shared" si="5"/>
        <v>13</v>
      </c>
      <c r="O32" s="20">
        <f t="shared" si="5"/>
        <v>13</v>
      </c>
      <c r="P32" s="20">
        <f t="shared" si="5"/>
        <v>13</v>
      </c>
      <c r="Q32" s="21">
        <f t="shared" si="5"/>
        <v>13</v>
      </c>
      <c r="R32" s="22"/>
      <c r="S32" s="22"/>
      <c r="T32" s="22"/>
    </row>
    <row r="33" spans="5:20" ht="26.25" x14ac:dyDescent="0.25">
      <c r="E33" s="14" t="s">
        <v>80</v>
      </c>
      <c r="F33" s="15" t="s">
        <v>81</v>
      </c>
      <c r="G33" s="28">
        <v>5.3</v>
      </c>
      <c r="H33" s="18">
        <f>ROUNDUP(G33*$H$3,1)+0.1</f>
        <v>2.8000000000000003</v>
      </c>
      <c r="I33" s="21">
        <f t="shared" si="5"/>
        <v>5.3</v>
      </c>
      <c r="J33" s="21">
        <f t="shared" si="5"/>
        <v>5.3</v>
      </c>
      <c r="K33" s="21">
        <f t="shared" si="5"/>
        <v>5.3</v>
      </c>
      <c r="L33" s="20">
        <f t="shared" si="5"/>
        <v>5.3</v>
      </c>
      <c r="M33" s="20">
        <f t="shared" si="5"/>
        <v>5.3</v>
      </c>
      <c r="N33" s="21">
        <f t="shared" si="5"/>
        <v>5.3</v>
      </c>
      <c r="O33" s="20">
        <f t="shared" si="5"/>
        <v>5.3</v>
      </c>
      <c r="P33" s="20">
        <f t="shared" si="5"/>
        <v>5.3</v>
      </c>
      <c r="Q33" s="21">
        <f t="shared" si="5"/>
        <v>5.3</v>
      </c>
      <c r="R33" s="22"/>
      <c r="S33" s="22"/>
      <c r="T33" s="22"/>
    </row>
    <row r="34" spans="5:20" ht="26.25" x14ac:dyDescent="0.25">
      <c r="E34" s="14" t="s">
        <v>82</v>
      </c>
      <c r="F34" s="15" t="s">
        <v>83</v>
      </c>
      <c r="G34" s="28">
        <v>14.3</v>
      </c>
      <c r="H34" s="18">
        <f>ROUNDDOWN(G34*$H$3,1)</f>
        <v>7.1</v>
      </c>
      <c r="I34" s="21">
        <f t="shared" si="5"/>
        <v>14.3</v>
      </c>
      <c r="J34" s="21">
        <f t="shared" si="5"/>
        <v>14.3</v>
      </c>
      <c r="K34" s="21">
        <f t="shared" si="5"/>
        <v>14.3</v>
      </c>
      <c r="L34" s="20">
        <f t="shared" si="5"/>
        <v>14.3</v>
      </c>
      <c r="M34" s="20">
        <f t="shared" si="5"/>
        <v>14.3</v>
      </c>
      <c r="N34" s="21">
        <f t="shared" si="5"/>
        <v>14.3</v>
      </c>
      <c r="O34" s="20">
        <f t="shared" si="5"/>
        <v>14.3</v>
      </c>
      <c r="P34" s="20">
        <f t="shared" si="5"/>
        <v>14.3</v>
      </c>
      <c r="Q34" s="21">
        <f t="shared" si="5"/>
        <v>14.3</v>
      </c>
      <c r="R34" s="22"/>
      <c r="S34" s="22"/>
      <c r="T34" s="22"/>
    </row>
    <row r="35" spans="5:20" ht="26.25" x14ac:dyDescent="0.25">
      <c r="E35" s="14" t="s">
        <v>84</v>
      </c>
      <c r="F35" s="15" t="s">
        <v>85</v>
      </c>
      <c r="G35" s="28">
        <v>13.6</v>
      </c>
      <c r="H35" s="18">
        <f>ROUNDUP(G35*$H$3,1)+0.1</f>
        <v>6.8999999999999995</v>
      </c>
      <c r="I35" s="21">
        <f t="shared" si="5"/>
        <v>13.6</v>
      </c>
      <c r="J35" s="21">
        <f t="shared" si="5"/>
        <v>13.6</v>
      </c>
      <c r="K35" s="21">
        <f t="shared" si="5"/>
        <v>13.6</v>
      </c>
      <c r="L35" s="20">
        <f t="shared" si="5"/>
        <v>13.6</v>
      </c>
      <c r="M35" s="20">
        <f t="shared" si="5"/>
        <v>13.6</v>
      </c>
      <c r="N35" s="21">
        <f t="shared" si="5"/>
        <v>13.6</v>
      </c>
      <c r="O35" s="20">
        <f t="shared" si="5"/>
        <v>13.6</v>
      </c>
      <c r="P35" s="20">
        <f t="shared" si="5"/>
        <v>13.6</v>
      </c>
      <c r="Q35" s="21">
        <f t="shared" si="5"/>
        <v>13.6</v>
      </c>
      <c r="R35" s="22"/>
      <c r="S35" s="22"/>
      <c r="T35" s="22"/>
    </row>
    <row r="36" spans="5:20" ht="26.25" x14ac:dyDescent="0.25">
      <c r="E36" s="24">
        <v>10200601</v>
      </c>
      <c r="F36" s="15" t="s">
        <v>86</v>
      </c>
      <c r="G36" s="28">
        <v>0.1</v>
      </c>
      <c r="H36" s="18">
        <v>0.5</v>
      </c>
      <c r="I36" s="21">
        <f t="shared" si="5"/>
        <v>0.1</v>
      </c>
      <c r="J36" s="21">
        <f t="shared" si="5"/>
        <v>0.1</v>
      </c>
      <c r="K36" s="21">
        <f t="shared" si="5"/>
        <v>0.1</v>
      </c>
      <c r="L36" s="20">
        <f t="shared" si="5"/>
        <v>0.1</v>
      </c>
      <c r="M36" s="20">
        <f t="shared" si="5"/>
        <v>0.1</v>
      </c>
      <c r="N36" s="21">
        <f t="shared" si="5"/>
        <v>0.1</v>
      </c>
      <c r="O36" s="20">
        <f t="shared" si="5"/>
        <v>0.1</v>
      </c>
      <c r="P36" s="20">
        <f t="shared" si="5"/>
        <v>0.1</v>
      </c>
      <c r="Q36" s="21">
        <f t="shared" si="5"/>
        <v>0.1</v>
      </c>
      <c r="R36" s="22"/>
      <c r="S36" s="22"/>
      <c r="T36" s="22"/>
    </row>
    <row r="37" spans="5:20" ht="26.25" x14ac:dyDescent="0.25">
      <c r="E37" s="14" t="s">
        <v>87</v>
      </c>
      <c r="F37" s="15" t="s">
        <v>88</v>
      </c>
      <c r="G37" s="28">
        <v>8.75</v>
      </c>
      <c r="H37" s="18">
        <f>ROUNDDOWN(G37*$H$3,0)</f>
        <v>4</v>
      </c>
      <c r="I37" s="21">
        <f t="shared" si="5"/>
        <v>8.75</v>
      </c>
      <c r="J37" s="21">
        <f t="shared" si="5"/>
        <v>8.75</v>
      </c>
      <c r="K37" s="21">
        <f t="shared" si="5"/>
        <v>8.75</v>
      </c>
      <c r="L37" s="20">
        <f t="shared" si="5"/>
        <v>8.75</v>
      </c>
      <c r="M37" s="20">
        <f t="shared" si="5"/>
        <v>8.75</v>
      </c>
      <c r="N37" s="21">
        <f t="shared" si="5"/>
        <v>8.75</v>
      </c>
      <c r="O37" s="20">
        <f t="shared" si="5"/>
        <v>8.75</v>
      </c>
      <c r="P37" s="20">
        <f t="shared" si="5"/>
        <v>8.75</v>
      </c>
      <c r="Q37" s="21">
        <f t="shared" si="5"/>
        <v>8.75</v>
      </c>
      <c r="R37" s="22"/>
      <c r="S37" s="22"/>
      <c r="T37" s="22"/>
    </row>
    <row r="38" spans="5:20" ht="26.25" x14ac:dyDescent="0.25">
      <c r="E38" s="14" t="s">
        <v>89</v>
      </c>
      <c r="F38" s="15" t="s">
        <v>90</v>
      </c>
      <c r="G38" s="28">
        <v>3.6</v>
      </c>
      <c r="H38" s="18">
        <f>ROUNDDOWN(G38*$H$3,1)+0.1</f>
        <v>1.9000000000000001</v>
      </c>
      <c r="I38" s="21">
        <f t="shared" si="5"/>
        <v>3.6</v>
      </c>
      <c r="J38" s="21">
        <f t="shared" si="5"/>
        <v>3.6</v>
      </c>
      <c r="K38" s="21">
        <f t="shared" si="5"/>
        <v>3.6</v>
      </c>
      <c r="L38" s="20">
        <f t="shared" si="5"/>
        <v>3.6</v>
      </c>
      <c r="M38" s="20">
        <f t="shared" si="5"/>
        <v>3.6</v>
      </c>
      <c r="N38" s="21">
        <f t="shared" si="5"/>
        <v>3.6</v>
      </c>
      <c r="O38" s="20">
        <f t="shared" si="5"/>
        <v>3.6</v>
      </c>
      <c r="P38" s="20">
        <f t="shared" si="5"/>
        <v>3.6</v>
      </c>
      <c r="Q38" s="21">
        <f t="shared" si="5"/>
        <v>3.6</v>
      </c>
      <c r="R38" s="22"/>
      <c r="S38" s="22"/>
      <c r="T38" s="22"/>
    </row>
    <row r="39" spans="5:20" x14ac:dyDescent="0.25">
      <c r="E39" s="14" t="s">
        <v>91</v>
      </c>
      <c r="F39" s="15" t="s">
        <v>92</v>
      </c>
      <c r="G39" s="28">
        <v>0.25</v>
      </c>
      <c r="H39" s="18">
        <v>0.5</v>
      </c>
      <c r="I39" s="21">
        <v>1</v>
      </c>
      <c r="J39" s="21">
        <v>1</v>
      </c>
      <c r="K39" s="21">
        <v>1</v>
      </c>
      <c r="L39" s="19">
        <v>1</v>
      </c>
      <c r="M39" s="19">
        <v>1</v>
      </c>
      <c r="N39" s="21">
        <v>1</v>
      </c>
      <c r="O39" s="20">
        <f t="shared" si="5"/>
        <v>0.25</v>
      </c>
      <c r="P39" s="19">
        <v>1</v>
      </c>
      <c r="Q39" s="21">
        <v>1</v>
      </c>
      <c r="R39" s="22"/>
      <c r="S39" s="22"/>
      <c r="T39" s="22"/>
    </row>
    <row r="40" spans="5:20" x14ac:dyDescent="0.25">
      <c r="E40" s="14" t="s">
        <v>93</v>
      </c>
      <c r="F40" s="15" t="s">
        <v>94</v>
      </c>
      <c r="G40" s="28">
        <v>4</v>
      </c>
      <c r="H40" s="33">
        <f>ROUND(G40*H$3,0)</f>
        <v>2</v>
      </c>
      <c r="I40" s="21">
        <f t="shared" si="5"/>
        <v>4</v>
      </c>
      <c r="J40" s="21">
        <f t="shared" si="5"/>
        <v>4</v>
      </c>
      <c r="K40" s="21">
        <f t="shared" si="5"/>
        <v>4</v>
      </c>
      <c r="L40" s="20">
        <f t="shared" si="5"/>
        <v>4</v>
      </c>
      <c r="M40" s="20">
        <f t="shared" si="5"/>
        <v>4</v>
      </c>
      <c r="N40" s="21">
        <f t="shared" si="5"/>
        <v>4</v>
      </c>
      <c r="O40" s="20">
        <f t="shared" si="5"/>
        <v>4</v>
      </c>
      <c r="P40" s="20">
        <f t="shared" si="5"/>
        <v>4</v>
      </c>
      <c r="Q40" s="21">
        <f t="shared" si="5"/>
        <v>4</v>
      </c>
      <c r="R40" s="22"/>
      <c r="S40" s="22"/>
      <c r="T40" s="22"/>
    </row>
    <row r="41" spans="5:20" x14ac:dyDescent="0.25">
      <c r="E41" s="14" t="s">
        <v>95</v>
      </c>
      <c r="F41" s="15" t="s">
        <v>96</v>
      </c>
      <c r="G41" s="28">
        <v>21.8</v>
      </c>
      <c r="H41" s="33">
        <f t="shared" ref="H41:H42" si="7">ROUND(G41*H$3,0)</f>
        <v>11</v>
      </c>
      <c r="I41" s="21">
        <f t="shared" si="5"/>
        <v>21.8</v>
      </c>
      <c r="J41" s="21">
        <f t="shared" si="5"/>
        <v>21.8</v>
      </c>
      <c r="K41" s="21">
        <f t="shared" si="5"/>
        <v>21.8</v>
      </c>
      <c r="L41" s="20">
        <f t="shared" si="5"/>
        <v>21.8</v>
      </c>
      <c r="M41" s="20">
        <f t="shared" si="5"/>
        <v>21.8</v>
      </c>
      <c r="N41" s="21">
        <f t="shared" si="5"/>
        <v>21.8</v>
      </c>
      <c r="O41" s="20">
        <f t="shared" si="5"/>
        <v>21.8</v>
      </c>
      <c r="P41" s="20">
        <f t="shared" si="5"/>
        <v>21.8</v>
      </c>
      <c r="Q41" s="21">
        <f t="shared" si="5"/>
        <v>21.8</v>
      </c>
      <c r="R41" s="22"/>
      <c r="S41" s="22"/>
      <c r="T41" s="22"/>
    </row>
    <row r="42" spans="5:20" x14ac:dyDescent="0.25">
      <c r="E42" s="14" t="s">
        <v>97</v>
      </c>
      <c r="F42" s="15" t="s">
        <v>98</v>
      </c>
      <c r="G42" s="28">
        <v>32.75</v>
      </c>
      <c r="H42" s="33">
        <f t="shared" si="7"/>
        <v>16</v>
      </c>
      <c r="I42" s="21">
        <f t="shared" si="5"/>
        <v>32.75</v>
      </c>
      <c r="J42" s="21">
        <f t="shared" si="5"/>
        <v>32.75</v>
      </c>
      <c r="K42" s="21">
        <f t="shared" si="5"/>
        <v>32.75</v>
      </c>
      <c r="L42" s="20">
        <f t="shared" si="5"/>
        <v>32.75</v>
      </c>
      <c r="M42" s="20">
        <f t="shared" si="5"/>
        <v>32.75</v>
      </c>
      <c r="N42" s="21">
        <f t="shared" si="5"/>
        <v>32.75</v>
      </c>
      <c r="O42" s="20">
        <f t="shared" si="5"/>
        <v>32.75</v>
      </c>
      <c r="P42" s="20">
        <f t="shared" si="5"/>
        <v>32.75</v>
      </c>
      <c r="Q42" s="21">
        <f t="shared" si="5"/>
        <v>32.75</v>
      </c>
      <c r="R42" s="22"/>
      <c r="S42" s="22"/>
      <c r="T42" s="22"/>
    </row>
    <row r="43" spans="5:20" x14ac:dyDescent="0.25">
      <c r="E43" s="14" t="s">
        <v>99</v>
      </c>
      <c r="F43" s="15" t="s">
        <v>100</v>
      </c>
      <c r="G43" s="28">
        <v>0.1</v>
      </c>
      <c r="H43" s="144">
        <v>1</v>
      </c>
      <c r="I43" s="21">
        <v>1</v>
      </c>
      <c r="J43" s="21">
        <v>1</v>
      </c>
      <c r="K43" s="21">
        <v>1</v>
      </c>
      <c r="L43" s="19">
        <v>1</v>
      </c>
      <c r="M43" s="19">
        <v>1</v>
      </c>
      <c r="N43" s="21">
        <v>1</v>
      </c>
      <c r="O43" s="20">
        <f t="shared" si="5"/>
        <v>0.1</v>
      </c>
      <c r="P43" s="19">
        <v>1</v>
      </c>
      <c r="Q43" s="21">
        <v>1</v>
      </c>
      <c r="R43" s="22"/>
      <c r="S43" s="22"/>
      <c r="T43" s="22"/>
    </row>
    <row r="44" spans="5:20" x14ac:dyDescent="0.25">
      <c r="E44" s="14" t="s">
        <v>101</v>
      </c>
      <c r="F44" s="15" t="s">
        <v>102</v>
      </c>
      <c r="G44" s="28">
        <v>0.25</v>
      </c>
      <c r="H44" s="147"/>
      <c r="I44" s="21">
        <v>1</v>
      </c>
      <c r="J44" s="21">
        <v>1</v>
      </c>
      <c r="K44" s="21">
        <v>1</v>
      </c>
      <c r="L44" s="19">
        <v>1</v>
      </c>
      <c r="M44" s="19">
        <v>1</v>
      </c>
      <c r="N44" s="21">
        <v>1</v>
      </c>
      <c r="O44" s="20">
        <f t="shared" si="5"/>
        <v>0.25</v>
      </c>
      <c r="P44" s="19">
        <v>1</v>
      </c>
      <c r="Q44" s="21">
        <v>1</v>
      </c>
      <c r="R44" s="22"/>
      <c r="S44" s="22"/>
      <c r="T44" s="22"/>
    </row>
    <row r="45" spans="5:20" ht="26.25" x14ac:dyDescent="0.25">
      <c r="E45" s="34" t="s">
        <v>103</v>
      </c>
      <c r="F45" s="32" t="s">
        <v>104</v>
      </c>
      <c r="G45" s="28">
        <v>0.25</v>
      </c>
      <c r="H45" s="147"/>
      <c r="I45" s="21"/>
      <c r="J45" s="21"/>
      <c r="K45" s="21"/>
      <c r="L45" s="19"/>
      <c r="M45" s="19"/>
      <c r="N45" s="21"/>
      <c r="O45" s="20"/>
      <c r="P45" s="19"/>
      <c r="Q45" s="21"/>
      <c r="R45" s="22"/>
      <c r="S45" s="22"/>
      <c r="T45" s="22"/>
    </row>
    <row r="46" spans="5:20" ht="26.25" x14ac:dyDescent="0.25">
      <c r="E46" s="34" t="s">
        <v>105</v>
      </c>
      <c r="F46" s="32" t="s">
        <v>106</v>
      </c>
      <c r="G46" s="28">
        <v>0.25</v>
      </c>
      <c r="H46" s="146"/>
      <c r="I46" s="21"/>
      <c r="J46" s="21"/>
      <c r="K46" s="21"/>
      <c r="L46" s="19"/>
      <c r="M46" s="19"/>
      <c r="N46" s="21"/>
      <c r="O46" s="20"/>
      <c r="P46" s="19"/>
      <c r="Q46" s="21"/>
      <c r="R46" s="22"/>
      <c r="S46" s="22"/>
      <c r="T46" s="22"/>
    </row>
    <row r="47" spans="5:20" x14ac:dyDescent="0.25">
      <c r="E47" s="14" t="s">
        <v>107</v>
      </c>
      <c r="F47" s="15" t="s">
        <v>108</v>
      </c>
      <c r="G47" s="28">
        <v>8</v>
      </c>
      <c r="H47" s="33">
        <f t="shared" ref="H47" si="8">ROUND(G47*H$3,0)</f>
        <v>4</v>
      </c>
      <c r="I47" s="21">
        <f t="shared" si="5"/>
        <v>8</v>
      </c>
      <c r="J47" s="21">
        <f t="shared" si="5"/>
        <v>8</v>
      </c>
      <c r="K47" s="21">
        <f t="shared" si="5"/>
        <v>8</v>
      </c>
      <c r="L47" s="20">
        <f t="shared" si="5"/>
        <v>8</v>
      </c>
      <c r="M47" s="20">
        <f t="shared" si="5"/>
        <v>8</v>
      </c>
      <c r="N47" s="21">
        <f t="shared" si="5"/>
        <v>8</v>
      </c>
      <c r="O47" s="20">
        <f t="shared" si="5"/>
        <v>8</v>
      </c>
      <c r="P47" s="20">
        <f t="shared" si="5"/>
        <v>8</v>
      </c>
      <c r="Q47" s="21">
        <f t="shared" si="5"/>
        <v>8</v>
      </c>
      <c r="R47" s="22"/>
      <c r="S47" s="22"/>
      <c r="T47" s="22"/>
    </row>
    <row r="48" spans="5:20" x14ac:dyDescent="0.25">
      <c r="E48" s="14" t="s">
        <v>109</v>
      </c>
      <c r="F48" s="15" t="s">
        <v>110</v>
      </c>
      <c r="G48" s="28">
        <v>1.5</v>
      </c>
      <c r="H48" s="33">
        <f>ROUND(G48*$H$3,1)+0.1</f>
        <v>0.9</v>
      </c>
      <c r="I48" s="21">
        <f t="shared" si="5"/>
        <v>1.5</v>
      </c>
      <c r="J48" s="21">
        <f t="shared" si="5"/>
        <v>1.5</v>
      </c>
      <c r="K48" s="21">
        <f t="shared" si="5"/>
        <v>1.5</v>
      </c>
      <c r="L48" s="20">
        <f t="shared" si="5"/>
        <v>1.5</v>
      </c>
      <c r="M48" s="20">
        <f t="shared" si="5"/>
        <v>1.5</v>
      </c>
      <c r="N48" s="21">
        <f t="shared" si="5"/>
        <v>1.5</v>
      </c>
      <c r="O48" s="20">
        <f t="shared" si="5"/>
        <v>1.5</v>
      </c>
      <c r="P48" s="20">
        <f t="shared" si="5"/>
        <v>1.5</v>
      </c>
      <c r="Q48" s="21">
        <f t="shared" si="5"/>
        <v>1.5</v>
      </c>
      <c r="R48" s="22"/>
      <c r="S48" s="22"/>
      <c r="T48" s="22"/>
    </row>
    <row r="49" spans="5:20" ht="26.25" x14ac:dyDescent="0.25">
      <c r="E49" s="14" t="s">
        <v>111</v>
      </c>
      <c r="F49" s="15" t="s">
        <v>112</v>
      </c>
      <c r="G49" s="28">
        <v>8.75</v>
      </c>
      <c r="H49" s="33">
        <f t="shared" ref="H49:H51" si="9">ROUND(G49*$H$3,0)</f>
        <v>4</v>
      </c>
      <c r="I49" s="21">
        <f t="shared" si="5"/>
        <v>8.75</v>
      </c>
      <c r="J49" s="21">
        <f t="shared" si="5"/>
        <v>8.75</v>
      </c>
      <c r="K49" s="21">
        <f t="shared" si="5"/>
        <v>8.75</v>
      </c>
      <c r="L49" s="20">
        <f t="shared" si="5"/>
        <v>8.75</v>
      </c>
      <c r="M49" s="20">
        <f t="shared" si="5"/>
        <v>8.75</v>
      </c>
      <c r="N49" s="21">
        <f t="shared" si="5"/>
        <v>8.75</v>
      </c>
      <c r="O49" s="20">
        <f t="shared" si="5"/>
        <v>8.75</v>
      </c>
      <c r="P49" s="20">
        <f t="shared" si="5"/>
        <v>8.75</v>
      </c>
      <c r="Q49" s="21">
        <f t="shared" si="5"/>
        <v>8.75</v>
      </c>
      <c r="R49" s="22"/>
      <c r="S49" s="22"/>
      <c r="T49" s="22"/>
    </row>
    <row r="50" spans="5:20" ht="26.25" x14ac:dyDescent="0.25">
      <c r="E50" s="14" t="s">
        <v>113</v>
      </c>
      <c r="F50" s="15" t="s">
        <v>114</v>
      </c>
      <c r="G50" s="28">
        <v>9.5</v>
      </c>
      <c r="H50" s="33">
        <f t="shared" si="9"/>
        <v>5</v>
      </c>
      <c r="I50" s="21">
        <f t="shared" si="5"/>
        <v>9.5</v>
      </c>
      <c r="J50" s="21">
        <f t="shared" si="5"/>
        <v>9.5</v>
      </c>
      <c r="K50" s="21">
        <f t="shared" si="5"/>
        <v>9.5</v>
      </c>
      <c r="L50" s="20">
        <f t="shared" si="5"/>
        <v>9.5</v>
      </c>
      <c r="M50" s="20">
        <f t="shared" si="5"/>
        <v>9.5</v>
      </c>
      <c r="N50" s="21">
        <f t="shared" si="5"/>
        <v>9.5</v>
      </c>
      <c r="O50" s="20">
        <f t="shared" si="5"/>
        <v>9.5</v>
      </c>
      <c r="P50" s="20">
        <f t="shared" si="5"/>
        <v>9.5</v>
      </c>
      <c r="Q50" s="21">
        <f t="shared" si="5"/>
        <v>9.5</v>
      </c>
      <c r="R50" s="22"/>
      <c r="S50" s="22"/>
      <c r="T50" s="22"/>
    </row>
    <row r="51" spans="5:20" x14ac:dyDescent="0.25">
      <c r="E51" s="14" t="s">
        <v>115</v>
      </c>
      <c r="F51" s="15" t="s">
        <v>116</v>
      </c>
      <c r="G51" s="28">
        <v>4.8499999999999996</v>
      </c>
      <c r="H51" s="33">
        <f t="shared" si="9"/>
        <v>2</v>
      </c>
      <c r="I51" s="21">
        <f t="shared" si="5"/>
        <v>4.8499999999999996</v>
      </c>
      <c r="J51" s="21">
        <f t="shared" si="5"/>
        <v>4.8499999999999996</v>
      </c>
      <c r="K51" s="21">
        <f t="shared" si="5"/>
        <v>4.8499999999999996</v>
      </c>
      <c r="L51" s="20">
        <f t="shared" si="5"/>
        <v>4.8499999999999996</v>
      </c>
      <c r="M51" s="20">
        <f t="shared" si="5"/>
        <v>4.8499999999999996</v>
      </c>
      <c r="N51" s="21">
        <f t="shared" si="5"/>
        <v>4.8499999999999996</v>
      </c>
      <c r="O51" s="20">
        <f t="shared" si="5"/>
        <v>4.8499999999999996</v>
      </c>
      <c r="P51" s="20">
        <f t="shared" si="5"/>
        <v>4.8499999999999996</v>
      </c>
      <c r="Q51" s="21">
        <f t="shared" si="5"/>
        <v>4.8499999999999996</v>
      </c>
      <c r="R51" s="22"/>
      <c r="S51" s="22"/>
      <c r="T51" s="22"/>
    </row>
    <row r="52" spans="5:20" x14ac:dyDescent="0.25">
      <c r="E52" s="14" t="s">
        <v>117</v>
      </c>
      <c r="F52" s="15" t="s">
        <v>118</v>
      </c>
      <c r="G52" s="28">
        <v>7.5</v>
      </c>
      <c r="H52" s="33">
        <f>ROUNDDOWN(G52*$H$3,0)</f>
        <v>3</v>
      </c>
      <c r="I52" s="21">
        <f t="shared" si="5"/>
        <v>7.5</v>
      </c>
      <c r="J52" s="21">
        <f t="shared" si="5"/>
        <v>7.5</v>
      </c>
      <c r="K52" s="21">
        <f t="shared" si="5"/>
        <v>7.5</v>
      </c>
      <c r="L52" s="20">
        <f t="shared" si="5"/>
        <v>7.5</v>
      </c>
      <c r="M52" s="20">
        <f t="shared" si="5"/>
        <v>7.5</v>
      </c>
      <c r="N52" s="21">
        <f t="shared" si="5"/>
        <v>7.5</v>
      </c>
      <c r="O52" s="20">
        <f t="shared" si="5"/>
        <v>7.5</v>
      </c>
      <c r="P52" s="20">
        <f t="shared" si="5"/>
        <v>7.5</v>
      </c>
      <c r="Q52" s="21">
        <f t="shared" si="5"/>
        <v>7.5</v>
      </c>
      <c r="R52" s="22"/>
      <c r="S52" s="22"/>
      <c r="T52" s="22"/>
    </row>
    <row r="53" spans="5:20" x14ac:dyDescent="0.25">
      <c r="E53" s="14" t="s">
        <v>119</v>
      </c>
      <c r="F53" s="15" t="s">
        <v>120</v>
      </c>
      <c r="G53" s="28">
        <v>1</v>
      </c>
      <c r="H53" s="33">
        <f>ROUND(G53*$H$3,1)+0.2</f>
        <v>0.7</v>
      </c>
      <c r="I53" s="21">
        <f t="shared" ref="I53:Q58" si="10">$G53*I$3</f>
        <v>1</v>
      </c>
      <c r="J53" s="21">
        <f t="shared" si="10"/>
        <v>1</v>
      </c>
      <c r="K53" s="21">
        <f t="shared" si="10"/>
        <v>1</v>
      </c>
      <c r="L53" s="20">
        <f t="shared" si="10"/>
        <v>1</v>
      </c>
      <c r="M53" s="20">
        <f t="shared" si="10"/>
        <v>1</v>
      </c>
      <c r="N53" s="21">
        <f t="shared" si="10"/>
        <v>1</v>
      </c>
      <c r="O53" s="20">
        <f t="shared" si="10"/>
        <v>1</v>
      </c>
      <c r="P53" s="20">
        <f t="shared" si="10"/>
        <v>1</v>
      </c>
      <c r="Q53" s="21">
        <f t="shared" si="10"/>
        <v>1</v>
      </c>
      <c r="R53" s="22"/>
      <c r="S53" s="22"/>
      <c r="T53" s="22"/>
    </row>
    <row r="54" spans="5:20" x14ac:dyDescent="0.25">
      <c r="E54" s="14" t="s">
        <v>121</v>
      </c>
      <c r="F54" s="15" t="s">
        <v>122</v>
      </c>
      <c r="G54" s="28">
        <v>17.25</v>
      </c>
      <c r="H54" s="33">
        <f>ROUND(G54*$H$3,0)</f>
        <v>9</v>
      </c>
      <c r="I54" s="21">
        <f t="shared" si="10"/>
        <v>17.25</v>
      </c>
      <c r="J54" s="21">
        <f t="shared" si="10"/>
        <v>17.25</v>
      </c>
      <c r="K54" s="21">
        <f t="shared" si="10"/>
        <v>17.25</v>
      </c>
      <c r="L54" s="20">
        <f t="shared" si="10"/>
        <v>17.25</v>
      </c>
      <c r="M54" s="20">
        <f t="shared" si="10"/>
        <v>17.25</v>
      </c>
      <c r="N54" s="21">
        <f t="shared" si="10"/>
        <v>17.25</v>
      </c>
      <c r="O54" s="20">
        <f t="shared" si="10"/>
        <v>17.25</v>
      </c>
      <c r="P54" s="20">
        <f t="shared" si="10"/>
        <v>17.25</v>
      </c>
      <c r="Q54" s="21">
        <f t="shared" si="10"/>
        <v>17.25</v>
      </c>
      <c r="R54" s="22"/>
      <c r="S54" s="22"/>
      <c r="T54" s="22"/>
    </row>
    <row r="55" spans="5:20" x14ac:dyDescent="0.25">
      <c r="E55" s="34" t="s">
        <v>123</v>
      </c>
      <c r="F55" s="32" t="s">
        <v>124</v>
      </c>
      <c r="G55" s="28">
        <v>1</v>
      </c>
      <c r="H55" s="33">
        <f>ROUND(G55*$H$3,1)+0.2</f>
        <v>0.7</v>
      </c>
      <c r="I55" s="21">
        <f t="shared" si="10"/>
        <v>1</v>
      </c>
      <c r="J55" s="21">
        <f t="shared" si="10"/>
        <v>1</v>
      </c>
      <c r="K55" s="21">
        <f t="shared" si="10"/>
        <v>1</v>
      </c>
      <c r="L55" s="19">
        <f t="shared" si="10"/>
        <v>1</v>
      </c>
      <c r="M55" s="19">
        <f t="shared" si="10"/>
        <v>1</v>
      </c>
      <c r="N55" s="21">
        <f t="shared" si="10"/>
        <v>1</v>
      </c>
      <c r="O55" s="19">
        <f t="shared" si="10"/>
        <v>1</v>
      </c>
      <c r="P55" s="19">
        <f t="shared" si="10"/>
        <v>1</v>
      </c>
      <c r="Q55" s="21">
        <f t="shared" si="10"/>
        <v>1</v>
      </c>
      <c r="R55" s="27"/>
      <c r="S55" s="27"/>
      <c r="T55" s="27"/>
    </row>
    <row r="56" spans="5:20" ht="26.25" x14ac:dyDescent="0.25">
      <c r="E56" s="34" t="s">
        <v>125</v>
      </c>
      <c r="F56" s="15" t="s">
        <v>126</v>
      </c>
      <c r="G56" s="28">
        <v>14.95</v>
      </c>
      <c r="H56" s="33">
        <f>ROUNDDOWN(G56*$H$3,0)</f>
        <v>7</v>
      </c>
      <c r="I56" s="21">
        <f t="shared" si="10"/>
        <v>14.95</v>
      </c>
      <c r="J56" s="21">
        <f t="shared" si="10"/>
        <v>14.95</v>
      </c>
      <c r="K56" s="21">
        <f t="shared" si="10"/>
        <v>14.95</v>
      </c>
      <c r="L56" s="20">
        <f t="shared" si="10"/>
        <v>14.95</v>
      </c>
      <c r="M56" s="20">
        <f t="shared" si="10"/>
        <v>14.95</v>
      </c>
      <c r="N56" s="21">
        <f t="shared" si="10"/>
        <v>14.95</v>
      </c>
      <c r="O56" s="20">
        <f t="shared" si="10"/>
        <v>14.95</v>
      </c>
      <c r="P56" s="20">
        <f t="shared" si="10"/>
        <v>14.95</v>
      </c>
      <c r="Q56" s="21">
        <f t="shared" si="10"/>
        <v>14.95</v>
      </c>
      <c r="R56" s="22"/>
      <c r="S56" s="22"/>
      <c r="T56" s="22"/>
    </row>
    <row r="57" spans="5:20" x14ac:dyDescent="0.25">
      <c r="E57" s="34" t="s">
        <v>127</v>
      </c>
      <c r="F57" s="32" t="s">
        <v>128</v>
      </c>
      <c r="G57" s="28">
        <v>0.35</v>
      </c>
      <c r="H57" s="33">
        <f>ROUND(G57*$H$3,1)+0.4</f>
        <v>0.60000000000000009</v>
      </c>
      <c r="I57" s="21">
        <f t="shared" si="10"/>
        <v>0.35</v>
      </c>
      <c r="J57" s="21">
        <f t="shared" si="10"/>
        <v>0.35</v>
      </c>
      <c r="K57" s="21">
        <f t="shared" si="10"/>
        <v>0.35</v>
      </c>
      <c r="L57" s="19">
        <f t="shared" si="10"/>
        <v>0.35</v>
      </c>
      <c r="M57" s="19">
        <f t="shared" si="10"/>
        <v>0.35</v>
      </c>
      <c r="N57" s="21">
        <f t="shared" si="10"/>
        <v>0.35</v>
      </c>
      <c r="O57" s="19">
        <f t="shared" si="10"/>
        <v>0.35</v>
      </c>
      <c r="P57" s="19">
        <f t="shared" si="10"/>
        <v>0.35</v>
      </c>
      <c r="Q57" s="21">
        <f t="shared" si="10"/>
        <v>0.35</v>
      </c>
      <c r="R57" s="27"/>
      <c r="S57" s="27"/>
      <c r="T57" s="27"/>
    </row>
    <row r="58" spans="5:20" ht="26.25" x14ac:dyDescent="0.25">
      <c r="E58" s="24">
        <v>1058</v>
      </c>
      <c r="F58" s="15" t="s">
        <v>129</v>
      </c>
      <c r="G58" s="28">
        <v>1</v>
      </c>
      <c r="H58" s="33">
        <f>ROUND(G58*$H$3,1)+0.2</f>
        <v>0.7</v>
      </c>
      <c r="I58" s="21">
        <f t="shared" si="10"/>
        <v>1</v>
      </c>
      <c r="J58" s="21">
        <f t="shared" si="10"/>
        <v>1</v>
      </c>
      <c r="K58" s="21">
        <f t="shared" si="10"/>
        <v>1</v>
      </c>
      <c r="L58" s="20">
        <f t="shared" si="10"/>
        <v>1</v>
      </c>
      <c r="M58" s="20">
        <f t="shared" si="10"/>
        <v>1</v>
      </c>
      <c r="N58" s="21">
        <f t="shared" si="10"/>
        <v>1</v>
      </c>
      <c r="O58" s="20">
        <f t="shared" si="10"/>
        <v>1</v>
      </c>
      <c r="P58" s="20">
        <f t="shared" si="10"/>
        <v>1</v>
      </c>
      <c r="Q58" s="21">
        <f t="shared" si="10"/>
        <v>1</v>
      </c>
      <c r="R58" s="22"/>
      <c r="S58" s="22"/>
      <c r="T58" s="22"/>
    </row>
    <row r="59" spans="5:20" x14ac:dyDescent="0.25">
      <c r="E59" s="24">
        <v>10581</v>
      </c>
      <c r="F59" s="32" t="s">
        <v>130</v>
      </c>
      <c r="G59" s="28">
        <v>19.100000000000001</v>
      </c>
      <c r="H59" s="33">
        <f>ROUND(G59*$H$3,0)+5</f>
        <v>15</v>
      </c>
      <c r="I59" s="21">
        <v>15.05</v>
      </c>
      <c r="J59" s="21">
        <v>15.05</v>
      </c>
      <c r="K59" s="21">
        <v>15.05</v>
      </c>
      <c r="L59" s="20">
        <v>15.05</v>
      </c>
      <c r="M59" s="20">
        <v>15.05</v>
      </c>
      <c r="N59" s="21">
        <v>15.05</v>
      </c>
      <c r="O59" s="20">
        <v>15.05</v>
      </c>
      <c r="P59" s="20">
        <v>15.05</v>
      </c>
      <c r="Q59" s="21">
        <v>15.05</v>
      </c>
      <c r="R59" s="22"/>
      <c r="S59" s="22"/>
      <c r="T59" s="22"/>
    </row>
    <row r="60" spans="5:20" ht="26.25" x14ac:dyDescent="0.25">
      <c r="E60" s="24">
        <v>10582</v>
      </c>
      <c r="F60" s="32" t="s">
        <v>131</v>
      </c>
      <c r="G60" s="28">
        <v>0</v>
      </c>
      <c r="H60" s="33">
        <f t="shared" ref="H60" si="11">ROUND(G60*$H$3,0)</f>
        <v>0</v>
      </c>
      <c r="I60" s="21"/>
      <c r="J60" s="21"/>
      <c r="K60" s="21"/>
      <c r="L60" s="20"/>
      <c r="M60" s="20"/>
      <c r="N60" s="21"/>
      <c r="O60" s="20"/>
      <c r="P60" s="20"/>
      <c r="Q60" s="21"/>
      <c r="R60" s="22"/>
      <c r="S60" s="22"/>
      <c r="T60" s="22"/>
    </row>
    <row r="61" spans="5:20" x14ac:dyDescent="0.25">
      <c r="E61" s="24">
        <v>1058201</v>
      </c>
      <c r="F61" s="15" t="s">
        <v>132</v>
      </c>
      <c r="G61" s="28">
        <v>30</v>
      </c>
      <c r="H61" s="33">
        <f>ROUNDDOWN(G61*$H$3,0)</f>
        <v>15</v>
      </c>
      <c r="I61" s="21">
        <f t="shared" ref="I61:Q72" si="12">$G61*I$3</f>
        <v>30</v>
      </c>
      <c r="J61" s="21">
        <f t="shared" si="12"/>
        <v>30</v>
      </c>
      <c r="K61" s="21">
        <f t="shared" si="12"/>
        <v>30</v>
      </c>
      <c r="L61" s="20">
        <f t="shared" si="12"/>
        <v>30</v>
      </c>
      <c r="M61" s="20">
        <f t="shared" si="12"/>
        <v>30</v>
      </c>
      <c r="N61" s="21">
        <f t="shared" si="12"/>
        <v>30</v>
      </c>
      <c r="O61" s="20">
        <f t="shared" si="12"/>
        <v>30</v>
      </c>
      <c r="P61" s="20">
        <f t="shared" si="12"/>
        <v>30</v>
      </c>
      <c r="Q61" s="21">
        <f t="shared" si="12"/>
        <v>30</v>
      </c>
      <c r="R61" s="22"/>
      <c r="S61" s="22"/>
      <c r="T61" s="22"/>
    </row>
    <row r="62" spans="5:20" x14ac:dyDescent="0.25">
      <c r="E62" s="24">
        <v>1058202</v>
      </c>
      <c r="F62" s="15" t="s">
        <v>133</v>
      </c>
      <c r="G62" s="28">
        <v>30.5</v>
      </c>
      <c r="H62" s="33">
        <f>ROUNDDOWN(G62*$H$3,0)</f>
        <v>15</v>
      </c>
      <c r="I62" s="21">
        <f t="shared" si="12"/>
        <v>30.5</v>
      </c>
      <c r="J62" s="21">
        <f t="shared" si="12"/>
        <v>30.5</v>
      </c>
      <c r="K62" s="21">
        <f t="shared" si="12"/>
        <v>30.5</v>
      </c>
      <c r="L62" s="20">
        <f t="shared" si="12"/>
        <v>30.5</v>
      </c>
      <c r="M62" s="20">
        <f t="shared" si="12"/>
        <v>30.5</v>
      </c>
      <c r="N62" s="21">
        <f t="shared" si="12"/>
        <v>30.5</v>
      </c>
      <c r="O62" s="20">
        <f t="shared" si="12"/>
        <v>30.5</v>
      </c>
      <c r="P62" s="20">
        <f t="shared" si="12"/>
        <v>30.5</v>
      </c>
      <c r="Q62" s="21">
        <f t="shared" si="12"/>
        <v>30.5</v>
      </c>
      <c r="R62" s="22"/>
      <c r="S62" s="22"/>
      <c r="T62" s="22"/>
    </row>
    <row r="63" spans="5:20" ht="26.25" x14ac:dyDescent="0.25">
      <c r="E63" s="24">
        <v>1058203</v>
      </c>
      <c r="F63" s="15" t="s">
        <v>134</v>
      </c>
      <c r="G63" s="28">
        <v>22.5</v>
      </c>
      <c r="H63" s="33">
        <f>ROUNDDOWN(G63*$H$3,0)</f>
        <v>11</v>
      </c>
      <c r="I63" s="21">
        <f t="shared" si="12"/>
        <v>22.5</v>
      </c>
      <c r="J63" s="21">
        <f t="shared" si="12"/>
        <v>22.5</v>
      </c>
      <c r="K63" s="21">
        <f t="shared" si="12"/>
        <v>22.5</v>
      </c>
      <c r="L63" s="20">
        <f t="shared" si="12"/>
        <v>22.5</v>
      </c>
      <c r="M63" s="20">
        <f t="shared" si="12"/>
        <v>22.5</v>
      </c>
      <c r="N63" s="21">
        <f t="shared" si="12"/>
        <v>22.5</v>
      </c>
      <c r="O63" s="20">
        <f t="shared" si="12"/>
        <v>22.5</v>
      </c>
      <c r="P63" s="20">
        <f t="shared" si="12"/>
        <v>22.5</v>
      </c>
      <c r="Q63" s="21">
        <f t="shared" si="12"/>
        <v>22.5</v>
      </c>
      <c r="R63" s="22"/>
      <c r="S63" s="22"/>
      <c r="T63" s="22"/>
    </row>
    <row r="64" spans="5:20" x14ac:dyDescent="0.25">
      <c r="E64" s="24">
        <v>1058204</v>
      </c>
      <c r="F64" s="15" t="s">
        <v>135</v>
      </c>
      <c r="G64" s="28">
        <v>5</v>
      </c>
      <c r="H64" s="33">
        <f>ROUNDUP(G64*$H$3,0)</f>
        <v>3</v>
      </c>
      <c r="I64" s="21">
        <f t="shared" si="12"/>
        <v>5</v>
      </c>
      <c r="J64" s="21">
        <f t="shared" si="12"/>
        <v>5</v>
      </c>
      <c r="K64" s="21">
        <f t="shared" si="12"/>
        <v>5</v>
      </c>
      <c r="L64" s="20">
        <f t="shared" si="12"/>
        <v>5</v>
      </c>
      <c r="M64" s="20">
        <f t="shared" si="12"/>
        <v>5</v>
      </c>
      <c r="N64" s="21">
        <f t="shared" si="12"/>
        <v>5</v>
      </c>
      <c r="O64" s="20">
        <f t="shared" si="12"/>
        <v>5</v>
      </c>
      <c r="P64" s="20">
        <f t="shared" si="12"/>
        <v>5</v>
      </c>
      <c r="Q64" s="21">
        <f t="shared" si="12"/>
        <v>5</v>
      </c>
      <c r="R64" s="22"/>
      <c r="S64" s="22"/>
      <c r="T64" s="22"/>
    </row>
    <row r="65" spans="5:20" ht="26.25" x14ac:dyDescent="0.25">
      <c r="E65" s="24">
        <v>1058205</v>
      </c>
      <c r="F65" s="15" t="s">
        <v>136</v>
      </c>
      <c r="G65" s="28">
        <v>5</v>
      </c>
      <c r="H65" s="33">
        <f>ROUND(G65*$H$3,0)</f>
        <v>3</v>
      </c>
      <c r="I65" s="21">
        <f t="shared" si="12"/>
        <v>5</v>
      </c>
      <c r="J65" s="21">
        <f t="shared" si="12"/>
        <v>5</v>
      </c>
      <c r="K65" s="21">
        <f t="shared" si="12"/>
        <v>5</v>
      </c>
      <c r="L65" s="20">
        <f t="shared" si="12"/>
        <v>5</v>
      </c>
      <c r="M65" s="20">
        <f t="shared" si="12"/>
        <v>5</v>
      </c>
      <c r="N65" s="21">
        <f t="shared" si="12"/>
        <v>5</v>
      </c>
      <c r="O65" s="20">
        <f t="shared" si="12"/>
        <v>5</v>
      </c>
      <c r="P65" s="20">
        <f t="shared" si="12"/>
        <v>5</v>
      </c>
      <c r="Q65" s="21">
        <f t="shared" si="12"/>
        <v>5</v>
      </c>
      <c r="R65" s="22"/>
      <c r="S65" s="22"/>
      <c r="T65" s="22"/>
    </row>
    <row r="66" spans="5:20" x14ac:dyDescent="0.25">
      <c r="E66" s="24">
        <v>1060</v>
      </c>
      <c r="F66" s="32" t="s">
        <v>137</v>
      </c>
      <c r="G66" s="28">
        <v>1</v>
      </c>
      <c r="H66" s="144">
        <v>31</v>
      </c>
      <c r="I66" s="21">
        <f t="shared" si="12"/>
        <v>1</v>
      </c>
      <c r="J66" s="21">
        <f t="shared" si="12"/>
        <v>1</v>
      </c>
      <c r="K66" s="21">
        <f t="shared" si="12"/>
        <v>1</v>
      </c>
      <c r="L66" s="19">
        <f t="shared" si="12"/>
        <v>1</v>
      </c>
      <c r="M66" s="19">
        <f t="shared" si="12"/>
        <v>1</v>
      </c>
      <c r="N66" s="21">
        <f t="shared" si="12"/>
        <v>1</v>
      </c>
      <c r="O66" s="19">
        <f t="shared" si="12"/>
        <v>1</v>
      </c>
      <c r="P66" s="19">
        <f t="shared" si="12"/>
        <v>1</v>
      </c>
      <c r="Q66" s="21">
        <f t="shared" si="12"/>
        <v>1</v>
      </c>
      <c r="R66" s="27"/>
      <c r="S66" s="27"/>
      <c r="T66" s="27"/>
    </row>
    <row r="67" spans="5:20" x14ac:dyDescent="0.25">
      <c r="E67" s="24">
        <v>10601</v>
      </c>
      <c r="F67" s="15" t="s">
        <v>138</v>
      </c>
      <c r="G67" s="28">
        <v>61</v>
      </c>
      <c r="H67" s="145"/>
      <c r="I67" s="21">
        <f t="shared" si="12"/>
        <v>61</v>
      </c>
      <c r="J67" s="21">
        <f t="shared" si="12"/>
        <v>61</v>
      </c>
      <c r="K67" s="21">
        <f t="shared" si="12"/>
        <v>61</v>
      </c>
      <c r="L67" s="20">
        <f>$G$67/10</f>
        <v>6.1</v>
      </c>
      <c r="M67" s="20">
        <f>$G$67/10</f>
        <v>6.1</v>
      </c>
      <c r="N67" s="21">
        <f t="shared" si="12"/>
        <v>61</v>
      </c>
      <c r="O67" s="20">
        <f>$G$67/10</f>
        <v>6.1</v>
      </c>
      <c r="P67" s="20">
        <f>$G$67/10</f>
        <v>6.1</v>
      </c>
      <c r="Q67" s="21">
        <f t="shared" si="12"/>
        <v>61</v>
      </c>
      <c r="R67" s="22"/>
      <c r="S67" s="22"/>
      <c r="T67" s="22"/>
    </row>
    <row r="68" spans="5:20" ht="26.25" x14ac:dyDescent="0.25">
      <c r="E68" s="24">
        <v>10602</v>
      </c>
      <c r="F68" s="15" t="s">
        <v>139</v>
      </c>
      <c r="G68" s="28">
        <v>0.5</v>
      </c>
      <c r="H68" s="146"/>
      <c r="I68" s="21">
        <f t="shared" si="12"/>
        <v>0.5</v>
      </c>
      <c r="J68" s="21">
        <f t="shared" si="12"/>
        <v>0.5</v>
      </c>
      <c r="K68" s="21">
        <f t="shared" si="12"/>
        <v>0.5</v>
      </c>
      <c r="L68" s="19">
        <f t="shared" si="12"/>
        <v>0.5</v>
      </c>
      <c r="M68" s="19">
        <f t="shared" si="12"/>
        <v>0.5</v>
      </c>
      <c r="N68" s="21">
        <f t="shared" si="12"/>
        <v>0.5</v>
      </c>
      <c r="O68" s="19">
        <f t="shared" si="12"/>
        <v>0.5</v>
      </c>
      <c r="P68" s="19">
        <f t="shared" si="12"/>
        <v>0.5</v>
      </c>
      <c r="Q68" s="21">
        <f t="shared" si="12"/>
        <v>0.5</v>
      </c>
      <c r="R68" s="27"/>
      <c r="S68" s="27"/>
      <c r="T68" s="27"/>
    </row>
    <row r="69" spans="5:20" x14ac:dyDescent="0.25">
      <c r="E69" s="24">
        <v>1068</v>
      </c>
      <c r="F69" s="15" t="s">
        <v>140</v>
      </c>
      <c r="G69" s="28">
        <v>17.75</v>
      </c>
      <c r="H69" s="33">
        <f>ROUND(G69*$H$3,0)</f>
        <v>9</v>
      </c>
      <c r="I69" s="21">
        <f t="shared" si="12"/>
        <v>17.75</v>
      </c>
      <c r="J69" s="21">
        <f t="shared" si="12"/>
        <v>17.75</v>
      </c>
      <c r="K69" s="21">
        <f t="shared" si="12"/>
        <v>17.75</v>
      </c>
      <c r="L69" s="20">
        <f t="shared" si="12"/>
        <v>17.75</v>
      </c>
      <c r="M69" s="20">
        <f t="shared" si="12"/>
        <v>17.75</v>
      </c>
      <c r="N69" s="21">
        <f t="shared" si="12"/>
        <v>17.75</v>
      </c>
      <c r="O69" s="20">
        <v>2</v>
      </c>
      <c r="P69" s="20">
        <f t="shared" si="12"/>
        <v>17.75</v>
      </c>
      <c r="Q69" s="21">
        <f t="shared" si="12"/>
        <v>17.75</v>
      </c>
      <c r="R69" s="22"/>
      <c r="S69" s="22"/>
      <c r="T69" s="22"/>
    </row>
    <row r="70" spans="5:20" x14ac:dyDescent="0.25">
      <c r="E70" s="24">
        <v>10681</v>
      </c>
      <c r="F70" s="15" t="s">
        <v>141</v>
      </c>
      <c r="G70" s="28">
        <v>2</v>
      </c>
      <c r="H70" s="33">
        <f>ROUND(G70*$H$3,1)</f>
        <v>1</v>
      </c>
      <c r="I70" s="21">
        <f t="shared" si="12"/>
        <v>2</v>
      </c>
      <c r="J70" s="21">
        <f t="shared" si="12"/>
        <v>2</v>
      </c>
      <c r="K70" s="21">
        <f t="shared" si="12"/>
        <v>2</v>
      </c>
      <c r="L70" s="20">
        <f t="shared" si="12"/>
        <v>2</v>
      </c>
      <c r="M70" s="20">
        <f t="shared" si="12"/>
        <v>2</v>
      </c>
      <c r="N70" s="21">
        <f t="shared" si="12"/>
        <v>2</v>
      </c>
      <c r="O70" s="20">
        <f t="shared" si="12"/>
        <v>2</v>
      </c>
      <c r="P70" s="20">
        <f t="shared" si="12"/>
        <v>2</v>
      </c>
      <c r="Q70" s="21">
        <f t="shared" si="12"/>
        <v>2</v>
      </c>
      <c r="R70" s="22"/>
      <c r="S70" s="22"/>
      <c r="T70" s="22"/>
    </row>
    <row r="71" spans="5:20" x14ac:dyDescent="0.25">
      <c r="E71" s="24">
        <v>1069</v>
      </c>
      <c r="F71" s="15" t="s">
        <v>142</v>
      </c>
      <c r="G71" s="28">
        <v>3</v>
      </c>
      <c r="H71" s="33">
        <v>9</v>
      </c>
      <c r="I71" s="21">
        <f>$G71*I$3</f>
        <v>3</v>
      </c>
      <c r="J71" s="21">
        <f t="shared" si="12"/>
        <v>3</v>
      </c>
      <c r="K71" s="21">
        <f t="shared" si="12"/>
        <v>3</v>
      </c>
      <c r="L71" s="20">
        <f t="shared" si="12"/>
        <v>3</v>
      </c>
      <c r="M71" s="20">
        <f t="shared" si="12"/>
        <v>3</v>
      </c>
      <c r="N71" s="21">
        <f t="shared" si="12"/>
        <v>3</v>
      </c>
      <c r="O71" s="20">
        <f>$G71*O$3</f>
        <v>3</v>
      </c>
      <c r="P71" s="20">
        <f t="shared" si="12"/>
        <v>3</v>
      </c>
      <c r="Q71" s="21">
        <f t="shared" si="12"/>
        <v>3</v>
      </c>
      <c r="R71" s="22"/>
      <c r="S71" s="22"/>
      <c r="T71" s="22"/>
    </row>
    <row r="72" spans="5:20" x14ac:dyDescent="0.25">
      <c r="E72" s="24">
        <v>1070</v>
      </c>
      <c r="F72" s="15" t="s">
        <v>143</v>
      </c>
      <c r="G72" s="28">
        <v>18</v>
      </c>
      <c r="H72" s="33">
        <f>ROUND(G72*$H$3,0)</f>
        <v>9</v>
      </c>
      <c r="I72" s="21">
        <f>$G72*I$3</f>
        <v>18</v>
      </c>
      <c r="J72" s="21">
        <f t="shared" si="12"/>
        <v>18</v>
      </c>
      <c r="K72" s="21">
        <f t="shared" si="12"/>
        <v>18</v>
      </c>
      <c r="L72" s="20">
        <v>2</v>
      </c>
      <c r="M72" s="20">
        <v>2</v>
      </c>
      <c r="N72" s="21">
        <f>$G72*N$3</f>
        <v>18</v>
      </c>
      <c r="O72" s="20">
        <v>2</v>
      </c>
      <c r="P72" s="20">
        <v>2</v>
      </c>
      <c r="Q72" s="21">
        <v>18</v>
      </c>
      <c r="R72" s="22"/>
      <c r="S72" s="22"/>
      <c r="T72" s="22"/>
    </row>
    <row r="73" spans="5:20" ht="26.25" x14ac:dyDescent="0.25">
      <c r="E73" s="14" t="s">
        <v>144</v>
      </c>
      <c r="F73" s="15" t="s">
        <v>145</v>
      </c>
      <c r="G73" s="28">
        <v>0.5</v>
      </c>
      <c r="H73" s="33">
        <f>ROUND(G73*$H$3,1)+0.4</f>
        <v>0.7</v>
      </c>
      <c r="I73" s="21">
        <f t="shared" ref="I73:Q97" si="13">$G73*I$3</f>
        <v>0.5</v>
      </c>
      <c r="J73" s="21">
        <f t="shared" si="13"/>
        <v>0.5</v>
      </c>
      <c r="K73" s="21">
        <f t="shared" si="13"/>
        <v>0.5</v>
      </c>
      <c r="L73" s="19">
        <f t="shared" si="13"/>
        <v>0.5</v>
      </c>
      <c r="M73" s="19">
        <f t="shared" si="13"/>
        <v>0.5</v>
      </c>
      <c r="N73" s="21">
        <f t="shared" si="13"/>
        <v>0.5</v>
      </c>
      <c r="O73" s="19">
        <f t="shared" si="13"/>
        <v>0.5</v>
      </c>
      <c r="P73" s="19">
        <f t="shared" si="13"/>
        <v>0.5</v>
      </c>
      <c r="Q73" s="21">
        <f t="shared" si="13"/>
        <v>0.5</v>
      </c>
      <c r="R73" s="22"/>
      <c r="S73" s="22"/>
      <c r="T73" s="22"/>
    </row>
    <row r="74" spans="5:20" ht="26.25" x14ac:dyDescent="0.25">
      <c r="E74" s="14" t="s">
        <v>146</v>
      </c>
      <c r="F74" s="15" t="s">
        <v>147</v>
      </c>
      <c r="G74" s="28">
        <v>5</v>
      </c>
      <c r="H74" s="33">
        <f>ROUND(G74*$H$3,0)</f>
        <v>3</v>
      </c>
      <c r="I74" s="21">
        <f t="shared" si="13"/>
        <v>5</v>
      </c>
      <c r="J74" s="21">
        <f t="shared" si="13"/>
        <v>5</v>
      </c>
      <c r="K74" s="21">
        <f t="shared" si="13"/>
        <v>5</v>
      </c>
      <c r="L74" s="20">
        <f t="shared" si="13"/>
        <v>5</v>
      </c>
      <c r="M74" s="20">
        <f t="shared" si="13"/>
        <v>5</v>
      </c>
      <c r="N74" s="21">
        <f t="shared" si="13"/>
        <v>5</v>
      </c>
      <c r="O74" s="20">
        <f t="shared" si="13"/>
        <v>5</v>
      </c>
      <c r="P74" s="20">
        <f t="shared" si="13"/>
        <v>5</v>
      </c>
      <c r="Q74" s="21">
        <f t="shared" si="13"/>
        <v>5</v>
      </c>
      <c r="R74" s="22"/>
      <c r="S74" s="22"/>
      <c r="T74" s="22"/>
    </row>
    <row r="75" spans="5:20" ht="26.25" x14ac:dyDescent="0.25">
      <c r="E75" s="14" t="s">
        <v>148</v>
      </c>
      <c r="F75" s="15" t="s">
        <v>149</v>
      </c>
      <c r="G75" s="28">
        <v>13.5</v>
      </c>
      <c r="H75" s="33">
        <f>ROUND(G75*$H$3,0)</f>
        <v>7</v>
      </c>
      <c r="I75" s="21">
        <f t="shared" si="13"/>
        <v>13.5</v>
      </c>
      <c r="J75" s="21">
        <f t="shared" si="13"/>
        <v>13.5</v>
      </c>
      <c r="K75" s="21">
        <f t="shared" si="13"/>
        <v>13.5</v>
      </c>
      <c r="L75" s="20">
        <f t="shared" si="13"/>
        <v>13.5</v>
      </c>
      <c r="M75" s="20">
        <f t="shared" si="13"/>
        <v>13.5</v>
      </c>
      <c r="N75" s="21">
        <f t="shared" si="13"/>
        <v>13.5</v>
      </c>
      <c r="O75" s="20">
        <f t="shared" si="13"/>
        <v>13.5</v>
      </c>
      <c r="P75" s="20">
        <f t="shared" si="13"/>
        <v>13.5</v>
      </c>
      <c r="Q75" s="21">
        <f t="shared" si="13"/>
        <v>13.5</v>
      </c>
      <c r="R75" s="22"/>
      <c r="S75" s="22"/>
      <c r="T75" s="22"/>
    </row>
    <row r="76" spans="5:20" x14ac:dyDescent="0.25">
      <c r="E76" s="14" t="s">
        <v>150</v>
      </c>
      <c r="F76" s="15" t="s">
        <v>151</v>
      </c>
      <c r="G76" s="28">
        <v>123.18</v>
      </c>
      <c r="H76" s="33">
        <f>ROUNDDOWN(G76*$H$3,0)</f>
        <v>61</v>
      </c>
      <c r="I76" s="21">
        <f t="shared" si="13"/>
        <v>123.18</v>
      </c>
      <c r="J76" s="21">
        <f t="shared" si="13"/>
        <v>123.18</v>
      </c>
      <c r="K76" s="21">
        <f t="shared" si="13"/>
        <v>123.18</v>
      </c>
      <c r="L76" s="20">
        <f t="shared" si="13"/>
        <v>123.18</v>
      </c>
      <c r="M76" s="20">
        <f t="shared" si="13"/>
        <v>123.18</v>
      </c>
      <c r="N76" s="21">
        <f t="shared" si="13"/>
        <v>123.18</v>
      </c>
      <c r="O76" s="20">
        <f t="shared" si="13"/>
        <v>123.18</v>
      </c>
      <c r="P76" s="20">
        <f t="shared" si="13"/>
        <v>123.18</v>
      </c>
      <c r="Q76" s="21">
        <f t="shared" si="13"/>
        <v>123.18</v>
      </c>
      <c r="R76" s="22"/>
      <c r="S76" s="22"/>
      <c r="T76" s="22"/>
    </row>
    <row r="77" spans="5:20" x14ac:dyDescent="0.25">
      <c r="E77" s="14" t="s">
        <v>152</v>
      </c>
      <c r="F77" s="15" t="s">
        <v>153</v>
      </c>
      <c r="G77" s="28">
        <v>8.25</v>
      </c>
      <c r="H77" s="33">
        <f t="shared" ref="H77" si="14">ROUNDDOWN(G77*$H$3,0)</f>
        <v>4</v>
      </c>
      <c r="I77" s="21">
        <f t="shared" si="13"/>
        <v>8.25</v>
      </c>
      <c r="J77" s="21">
        <f t="shared" si="13"/>
        <v>8.25</v>
      </c>
      <c r="K77" s="21">
        <f t="shared" si="13"/>
        <v>8.25</v>
      </c>
      <c r="L77" s="20">
        <f t="shared" si="13"/>
        <v>8.25</v>
      </c>
      <c r="M77" s="20">
        <f t="shared" si="13"/>
        <v>8.25</v>
      </c>
      <c r="N77" s="21">
        <f t="shared" si="13"/>
        <v>8.25</v>
      </c>
      <c r="O77" s="20">
        <f t="shared" si="13"/>
        <v>8.25</v>
      </c>
      <c r="P77" s="20">
        <f t="shared" si="13"/>
        <v>8.25</v>
      </c>
      <c r="Q77" s="21">
        <f t="shared" si="13"/>
        <v>8.25</v>
      </c>
      <c r="R77" s="22"/>
      <c r="S77" s="22"/>
      <c r="T77" s="22"/>
    </row>
    <row r="78" spans="5:20" ht="26.25" x14ac:dyDescent="0.25">
      <c r="E78" s="14" t="s">
        <v>154</v>
      </c>
      <c r="F78" s="15" t="s">
        <v>155</v>
      </c>
      <c r="G78" s="28">
        <v>0.25</v>
      </c>
      <c r="H78" s="33">
        <f>ROUND(G78*$H$3,1)+0.4</f>
        <v>0.5</v>
      </c>
      <c r="I78" s="21">
        <v>1</v>
      </c>
      <c r="J78" s="21">
        <v>1</v>
      </c>
      <c r="K78" s="21">
        <v>1</v>
      </c>
      <c r="L78" s="19">
        <v>1</v>
      </c>
      <c r="M78" s="19">
        <v>1</v>
      </c>
      <c r="N78" s="21">
        <v>1</v>
      </c>
      <c r="O78" s="19">
        <v>1</v>
      </c>
      <c r="P78" s="19">
        <v>1</v>
      </c>
      <c r="Q78" s="21">
        <v>1</v>
      </c>
      <c r="R78" s="22"/>
      <c r="S78" s="22"/>
      <c r="T78" s="22"/>
    </row>
    <row r="79" spans="5:20" x14ac:dyDescent="0.25">
      <c r="E79" s="14" t="s">
        <v>156</v>
      </c>
      <c r="F79" s="32" t="s">
        <v>157</v>
      </c>
      <c r="G79" s="28">
        <v>0.25</v>
      </c>
      <c r="H79" s="33">
        <f t="shared" ref="H79:H80" si="15">ROUND(G79*$H$3,1)+0.4</f>
        <v>0.5</v>
      </c>
      <c r="I79" s="21">
        <v>1</v>
      </c>
      <c r="J79" s="21">
        <v>1</v>
      </c>
      <c r="K79" s="21">
        <v>1</v>
      </c>
      <c r="L79" s="19">
        <v>1</v>
      </c>
      <c r="M79" s="19">
        <v>1</v>
      </c>
      <c r="N79" s="21">
        <v>1</v>
      </c>
      <c r="O79" s="19">
        <v>1</v>
      </c>
      <c r="P79" s="19">
        <v>1</v>
      </c>
      <c r="Q79" s="21">
        <v>1</v>
      </c>
      <c r="R79" s="22"/>
      <c r="S79" s="22"/>
      <c r="T79" s="22"/>
    </row>
    <row r="80" spans="5:20" ht="26.25" x14ac:dyDescent="0.25">
      <c r="E80" s="14" t="s">
        <v>158</v>
      </c>
      <c r="F80" s="32" t="s">
        <v>159</v>
      </c>
      <c r="G80" s="28">
        <v>0.25</v>
      </c>
      <c r="H80" s="33">
        <f t="shared" si="15"/>
        <v>0.5</v>
      </c>
      <c r="I80" s="21">
        <v>1</v>
      </c>
      <c r="J80" s="21">
        <v>1</v>
      </c>
      <c r="K80" s="21">
        <v>1</v>
      </c>
      <c r="L80" s="19">
        <v>1</v>
      </c>
      <c r="M80" s="19">
        <v>1</v>
      </c>
      <c r="N80" s="21">
        <v>1</v>
      </c>
      <c r="O80" s="19">
        <v>1</v>
      </c>
      <c r="P80" s="19">
        <v>1</v>
      </c>
      <c r="Q80" s="21">
        <v>1</v>
      </c>
      <c r="R80" s="22"/>
      <c r="S80" s="22"/>
      <c r="T80" s="22"/>
    </row>
    <row r="81" spans="5:20" ht="26.25" x14ac:dyDescent="0.25">
      <c r="E81" s="14" t="s">
        <v>160</v>
      </c>
      <c r="F81" s="15" t="s">
        <v>161</v>
      </c>
      <c r="G81" s="28">
        <v>3</v>
      </c>
      <c r="H81" s="33">
        <f>ROUND(G81*$H$3,0)</f>
        <v>2</v>
      </c>
      <c r="I81" s="21">
        <f t="shared" si="13"/>
        <v>3</v>
      </c>
      <c r="J81" s="21">
        <f t="shared" si="13"/>
        <v>3</v>
      </c>
      <c r="K81" s="21">
        <f t="shared" si="13"/>
        <v>3</v>
      </c>
      <c r="L81" s="20">
        <f t="shared" si="13"/>
        <v>3</v>
      </c>
      <c r="M81" s="20">
        <f t="shared" si="13"/>
        <v>3</v>
      </c>
      <c r="N81" s="21">
        <f t="shared" si="13"/>
        <v>3</v>
      </c>
      <c r="O81" s="20">
        <f t="shared" si="13"/>
        <v>3</v>
      </c>
      <c r="P81" s="20">
        <f t="shared" si="13"/>
        <v>3</v>
      </c>
      <c r="Q81" s="21">
        <f t="shared" si="13"/>
        <v>3</v>
      </c>
      <c r="R81" s="22"/>
      <c r="S81" s="22"/>
      <c r="T81" s="22"/>
    </row>
    <row r="82" spans="5:20" ht="26.25" x14ac:dyDescent="0.25">
      <c r="E82" s="14" t="s">
        <v>162</v>
      </c>
      <c r="F82" s="32" t="s">
        <v>163</v>
      </c>
      <c r="G82" s="28">
        <v>1</v>
      </c>
      <c r="H82" s="33">
        <f>ROUND(G82*$H$3,1)+0.2</f>
        <v>0.7</v>
      </c>
      <c r="I82" s="21">
        <v>1</v>
      </c>
      <c r="J82" s="21">
        <v>1</v>
      </c>
      <c r="K82" s="21">
        <v>1</v>
      </c>
      <c r="L82" s="19">
        <v>1</v>
      </c>
      <c r="M82" s="19">
        <v>1</v>
      </c>
      <c r="N82" s="21">
        <v>1</v>
      </c>
      <c r="O82" s="19">
        <v>1</v>
      </c>
      <c r="P82" s="19">
        <v>1</v>
      </c>
      <c r="Q82" s="21">
        <v>1</v>
      </c>
      <c r="R82" s="22"/>
      <c r="S82" s="22"/>
      <c r="T82" s="22"/>
    </row>
    <row r="83" spans="5:20" x14ac:dyDescent="0.25">
      <c r="E83" s="14" t="s">
        <v>164</v>
      </c>
      <c r="F83" s="15" t="s">
        <v>165</v>
      </c>
      <c r="G83" s="28">
        <v>83.39</v>
      </c>
      <c r="H83" s="33">
        <f>ROUNDDOWN(G83*$H$3,0)</f>
        <v>41</v>
      </c>
      <c r="I83" s="21">
        <f t="shared" si="13"/>
        <v>83.39</v>
      </c>
      <c r="J83" s="21">
        <f t="shared" si="13"/>
        <v>83.39</v>
      </c>
      <c r="K83" s="21">
        <f t="shared" si="13"/>
        <v>83.39</v>
      </c>
      <c r="L83" s="20">
        <f t="shared" si="13"/>
        <v>83.39</v>
      </c>
      <c r="M83" s="20">
        <f t="shared" si="13"/>
        <v>83.39</v>
      </c>
      <c r="N83" s="21">
        <f t="shared" si="13"/>
        <v>83.39</v>
      </c>
      <c r="O83" s="20">
        <f t="shared" si="13"/>
        <v>83.39</v>
      </c>
      <c r="P83" s="20">
        <f t="shared" si="13"/>
        <v>83.39</v>
      </c>
      <c r="Q83" s="21">
        <f t="shared" si="13"/>
        <v>83.39</v>
      </c>
      <c r="R83" s="22"/>
      <c r="S83" s="22"/>
      <c r="T83" s="22"/>
    </row>
    <row r="84" spans="5:20" ht="27.75" customHeight="1" x14ac:dyDescent="0.25">
      <c r="E84" s="14" t="s">
        <v>166</v>
      </c>
      <c r="F84" s="15" t="s">
        <v>167</v>
      </c>
      <c r="G84" s="28">
        <v>0.75</v>
      </c>
      <c r="H84" s="33">
        <f>ROUND(G84*$H$3,1)+0.3</f>
        <v>0.7</v>
      </c>
      <c r="I84" s="21">
        <f t="shared" si="13"/>
        <v>0.75</v>
      </c>
      <c r="J84" s="21">
        <f t="shared" si="13"/>
        <v>0.75</v>
      </c>
      <c r="K84" s="21">
        <f t="shared" si="13"/>
        <v>0.75</v>
      </c>
      <c r="L84" s="19">
        <f t="shared" si="13"/>
        <v>0.75</v>
      </c>
      <c r="M84" s="19">
        <f t="shared" si="13"/>
        <v>0.75</v>
      </c>
      <c r="N84" s="21">
        <f t="shared" si="13"/>
        <v>0.75</v>
      </c>
      <c r="O84" s="19">
        <f t="shared" si="13"/>
        <v>0.75</v>
      </c>
      <c r="P84" s="19">
        <f t="shared" si="13"/>
        <v>0.75</v>
      </c>
      <c r="Q84" s="21">
        <f t="shared" si="13"/>
        <v>0.75</v>
      </c>
      <c r="R84" s="22"/>
      <c r="S84" s="22"/>
      <c r="T84" s="22"/>
    </row>
    <row r="85" spans="5:20" ht="26.25" x14ac:dyDescent="0.25">
      <c r="E85" s="14" t="s">
        <v>168</v>
      </c>
      <c r="F85" s="15" t="s">
        <v>169</v>
      </c>
      <c r="G85" s="28">
        <v>0.75</v>
      </c>
      <c r="H85" s="33">
        <f>ROUND(G85*$H$3,1)+0.3</f>
        <v>0.7</v>
      </c>
      <c r="I85" s="21">
        <f t="shared" si="13"/>
        <v>0.75</v>
      </c>
      <c r="J85" s="21">
        <f t="shared" si="13"/>
        <v>0.75</v>
      </c>
      <c r="K85" s="21">
        <f t="shared" si="13"/>
        <v>0.75</v>
      </c>
      <c r="L85" s="19">
        <f t="shared" si="13"/>
        <v>0.75</v>
      </c>
      <c r="M85" s="19">
        <f t="shared" si="13"/>
        <v>0.75</v>
      </c>
      <c r="N85" s="21">
        <f t="shared" si="13"/>
        <v>0.75</v>
      </c>
      <c r="O85" s="19">
        <f t="shared" si="13"/>
        <v>0.75</v>
      </c>
      <c r="P85" s="19">
        <f t="shared" si="13"/>
        <v>0.75</v>
      </c>
      <c r="Q85" s="21">
        <f t="shared" si="13"/>
        <v>0.75</v>
      </c>
      <c r="R85" s="22"/>
      <c r="S85" s="22"/>
      <c r="T85" s="22"/>
    </row>
    <row r="86" spans="5:20" ht="26.25" x14ac:dyDescent="0.25">
      <c r="E86" s="14" t="s">
        <v>170</v>
      </c>
      <c r="F86" s="32" t="s">
        <v>171</v>
      </c>
      <c r="G86" s="28">
        <v>0.25</v>
      </c>
      <c r="H86" s="33">
        <f>ROUND(G86*$H$3,1)+0.4</f>
        <v>0.5</v>
      </c>
      <c r="I86" s="21">
        <f t="shared" si="13"/>
        <v>0.25</v>
      </c>
      <c r="J86" s="21">
        <f t="shared" si="13"/>
        <v>0.25</v>
      </c>
      <c r="K86" s="21">
        <f t="shared" si="13"/>
        <v>0.25</v>
      </c>
      <c r="L86" s="19">
        <f t="shared" si="13"/>
        <v>0.25</v>
      </c>
      <c r="M86" s="19">
        <f t="shared" si="13"/>
        <v>0.25</v>
      </c>
      <c r="N86" s="21">
        <f t="shared" si="13"/>
        <v>0.25</v>
      </c>
      <c r="O86" s="19">
        <f t="shared" si="13"/>
        <v>0.25</v>
      </c>
      <c r="P86" s="19">
        <f t="shared" si="13"/>
        <v>0.25</v>
      </c>
      <c r="Q86" s="21">
        <f t="shared" si="13"/>
        <v>0.25</v>
      </c>
      <c r="R86" s="22"/>
      <c r="S86" s="22"/>
      <c r="T86" s="22"/>
    </row>
    <row r="87" spans="5:20" x14ac:dyDescent="0.25">
      <c r="E87" s="14" t="s">
        <v>172</v>
      </c>
      <c r="F87" s="32" t="s">
        <v>173</v>
      </c>
      <c r="G87" s="28">
        <v>0.25</v>
      </c>
      <c r="H87" s="33">
        <f>ROUND(G87*$H$3,1)+0.4</f>
        <v>0.5</v>
      </c>
      <c r="I87" s="21">
        <f t="shared" si="13"/>
        <v>0.25</v>
      </c>
      <c r="J87" s="21">
        <f t="shared" si="13"/>
        <v>0.25</v>
      </c>
      <c r="K87" s="21">
        <f t="shared" si="13"/>
        <v>0.25</v>
      </c>
      <c r="L87" s="19">
        <f t="shared" si="13"/>
        <v>0.25</v>
      </c>
      <c r="M87" s="19">
        <f t="shared" si="13"/>
        <v>0.25</v>
      </c>
      <c r="N87" s="21">
        <f t="shared" si="13"/>
        <v>0.25</v>
      </c>
      <c r="O87" s="19">
        <f t="shared" si="13"/>
        <v>0.25</v>
      </c>
      <c r="P87" s="19">
        <f t="shared" si="13"/>
        <v>0.25</v>
      </c>
      <c r="Q87" s="21">
        <f t="shared" si="13"/>
        <v>0.25</v>
      </c>
      <c r="R87" s="22"/>
      <c r="S87" s="22"/>
      <c r="T87" s="22"/>
    </row>
    <row r="88" spans="5:20" x14ac:dyDescent="0.25">
      <c r="E88" s="35" t="s">
        <v>174</v>
      </c>
      <c r="F88" s="32" t="s">
        <v>175</v>
      </c>
      <c r="G88" s="28">
        <v>1</v>
      </c>
      <c r="H88" s="33">
        <f>ROUND(G88*$H$3,1)+0.2</f>
        <v>0.7</v>
      </c>
      <c r="I88" s="21">
        <f t="shared" si="13"/>
        <v>1</v>
      </c>
      <c r="J88" s="21">
        <f t="shared" si="13"/>
        <v>1</v>
      </c>
      <c r="K88" s="21">
        <f t="shared" si="13"/>
        <v>1</v>
      </c>
      <c r="L88" s="19">
        <f t="shared" si="13"/>
        <v>1</v>
      </c>
      <c r="M88" s="19">
        <f t="shared" si="13"/>
        <v>1</v>
      </c>
      <c r="N88" s="21">
        <f t="shared" si="13"/>
        <v>1</v>
      </c>
      <c r="O88" s="19">
        <f t="shared" si="13"/>
        <v>1</v>
      </c>
      <c r="P88" s="19">
        <f t="shared" si="13"/>
        <v>1</v>
      </c>
      <c r="Q88" s="21">
        <f t="shared" si="13"/>
        <v>1</v>
      </c>
      <c r="R88" s="22"/>
      <c r="S88" s="22"/>
      <c r="T88" s="22"/>
    </row>
    <row r="89" spans="5:20" x14ac:dyDescent="0.25">
      <c r="E89" s="34" t="s">
        <v>176</v>
      </c>
      <c r="F89" s="32" t="s">
        <v>177</v>
      </c>
      <c r="G89" s="28">
        <v>2</v>
      </c>
      <c r="H89" s="33">
        <f>ROUND(G89*$H$3,1)</f>
        <v>1</v>
      </c>
      <c r="I89" s="21">
        <f t="shared" si="13"/>
        <v>2</v>
      </c>
      <c r="J89" s="21">
        <f t="shared" si="13"/>
        <v>2</v>
      </c>
      <c r="K89" s="21">
        <f t="shared" si="13"/>
        <v>2</v>
      </c>
      <c r="L89" s="19">
        <f t="shared" si="13"/>
        <v>2</v>
      </c>
      <c r="M89" s="19">
        <f t="shared" si="13"/>
        <v>2</v>
      </c>
      <c r="N89" s="21">
        <f t="shared" si="13"/>
        <v>2</v>
      </c>
      <c r="O89" s="19">
        <v>1</v>
      </c>
      <c r="P89" s="19">
        <v>1</v>
      </c>
      <c r="Q89" s="21">
        <v>2</v>
      </c>
      <c r="R89" s="22"/>
      <c r="S89" s="22"/>
      <c r="T89" s="22"/>
    </row>
    <row r="90" spans="5:20" x14ac:dyDescent="0.25">
      <c r="E90" s="34" t="s">
        <v>178</v>
      </c>
      <c r="F90" s="32" t="s">
        <v>179</v>
      </c>
      <c r="G90" s="28">
        <v>1</v>
      </c>
      <c r="H90" s="18">
        <v>0.5</v>
      </c>
      <c r="I90" s="21">
        <f t="shared" si="13"/>
        <v>1</v>
      </c>
      <c r="J90" s="21">
        <f t="shared" si="13"/>
        <v>1</v>
      </c>
      <c r="K90" s="21">
        <f t="shared" si="13"/>
        <v>1</v>
      </c>
      <c r="L90" s="19">
        <f t="shared" si="13"/>
        <v>1</v>
      </c>
      <c r="M90" s="19">
        <f t="shared" si="13"/>
        <v>1</v>
      </c>
      <c r="N90" s="21">
        <f t="shared" si="13"/>
        <v>1</v>
      </c>
      <c r="O90" s="19">
        <f t="shared" si="13"/>
        <v>1</v>
      </c>
      <c r="P90" s="19">
        <f t="shared" si="13"/>
        <v>1</v>
      </c>
      <c r="Q90" s="21">
        <f t="shared" si="13"/>
        <v>1</v>
      </c>
      <c r="R90" s="22"/>
      <c r="S90" s="22"/>
      <c r="T90" s="22"/>
    </row>
    <row r="91" spans="5:20" x14ac:dyDescent="0.25">
      <c r="E91" s="34" t="s">
        <v>180</v>
      </c>
      <c r="F91" s="32" t="s">
        <v>181</v>
      </c>
      <c r="G91" s="28">
        <v>2.75</v>
      </c>
      <c r="H91" s="52">
        <f>IF(G91*H$3&lt;=1,1,IF(AND(G91*$H$30)&gt;1.49,2,0))</f>
        <v>2</v>
      </c>
      <c r="I91" s="21">
        <v>2</v>
      </c>
      <c r="J91" s="21">
        <v>2</v>
      </c>
      <c r="K91" s="21">
        <v>2</v>
      </c>
      <c r="L91" s="19">
        <v>1</v>
      </c>
      <c r="M91" s="19">
        <v>1</v>
      </c>
      <c r="N91" s="21">
        <v>2</v>
      </c>
      <c r="O91" s="19">
        <v>1</v>
      </c>
      <c r="P91" s="19">
        <v>1</v>
      </c>
      <c r="Q91" s="21">
        <v>1</v>
      </c>
      <c r="R91" s="22"/>
      <c r="S91" s="22"/>
      <c r="T91" s="22"/>
    </row>
    <row r="92" spans="5:20" x14ac:dyDescent="0.25">
      <c r="E92" s="34" t="s">
        <v>182</v>
      </c>
      <c r="F92" s="32" t="s">
        <v>183</v>
      </c>
      <c r="G92" s="28">
        <v>10.25</v>
      </c>
      <c r="H92" s="52">
        <v>5</v>
      </c>
      <c r="I92" s="21">
        <f t="shared" si="13"/>
        <v>10.25</v>
      </c>
      <c r="J92" s="21">
        <f t="shared" si="13"/>
        <v>10.25</v>
      </c>
      <c r="K92" s="21">
        <f t="shared" si="13"/>
        <v>10.25</v>
      </c>
      <c r="L92" s="19">
        <v>1</v>
      </c>
      <c r="M92" s="19">
        <v>1</v>
      </c>
      <c r="N92" s="21">
        <f t="shared" si="13"/>
        <v>10.25</v>
      </c>
      <c r="O92" s="19">
        <v>1</v>
      </c>
      <c r="P92" s="19">
        <v>1</v>
      </c>
      <c r="Q92" s="21">
        <v>1</v>
      </c>
      <c r="R92" s="22"/>
      <c r="S92" s="22"/>
      <c r="T92" s="22"/>
    </row>
    <row r="93" spans="5:20" x14ac:dyDescent="0.25">
      <c r="E93" s="34" t="s">
        <v>184</v>
      </c>
      <c r="F93" s="32" t="s">
        <v>185</v>
      </c>
      <c r="G93" s="28">
        <v>1.25</v>
      </c>
      <c r="H93" s="18">
        <v>0.5</v>
      </c>
      <c r="I93" s="21">
        <v>2</v>
      </c>
      <c r="J93" s="21">
        <v>2</v>
      </c>
      <c r="K93" s="21">
        <v>2</v>
      </c>
      <c r="L93" s="19">
        <f t="shared" si="13"/>
        <v>1.25</v>
      </c>
      <c r="M93" s="19">
        <f t="shared" si="13"/>
        <v>1.25</v>
      </c>
      <c r="N93" s="21">
        <f t="shared" si="13"/>
        <v>1.25</v>
      </c>
      <c r="O93" s="19">
        <f t="shared" si="13"/>
        <v>1.25</v>
      </c>
      <c r="P93" s="19">
        <f t="shared" si="13"/>
        <v>1.25</v>
      </c>
      <c r="Q93" s="21">
        <f t="shared" si="13"/>
        <v>1.25</v>
      </c>
      <c r="R93" s="22"/>
      <c r="S93" s="22"/>
      <c r="T93" s="22"/>
    </row>
    <row r="94" spans="5:20" x14ac:dyDescent="0.25">
      <c r="E94" s="14" t="s">
        <v>186</v>
      </c>
      <c r="F94" s="15" t="s">
        <v>187</v>
      </c>
      <c r="G94" s="28">
        <v>1</v>
      </c>
      <c r="H94" s="33">
        <f>ROUND(G94*$H$3,1)+0.2</f>
        <v>0.7</v>
      </c>
      <c r="I94" s="21">
        <f t="shared" si="13"/>
        <v>1</v>
      </c>
      <c r="J94" s="21">
        <f t="shared" si="13"/>
        <v>1</v>
      </c>
      <c r="K94" s="21">
        <f t="shared" si="13"/>
        <v>1</v>
      </c>
      <c r="L94" s="20">
        <f t="shared" si="13"/>
        <v>1</v>
      </c>
      <c r="M94" s="20">
        <f t="shared" si="13"/>
        <v>1</v>
      </c>
      <c r="N94" s="21">
        <f t="shared" si="13"/>
        <v>1</v>
      </c>
      <c r="O94" s="20">
        <f t="shared" si="13"/>
        <v>1</v>
      </c>
      <c r="P94" s="20">
        <f t="shared" si="13"/>
        <v>1</v>
      </c>
      <c r="Q94" s="21">
        <f t="shared" si="13"/>
        <v>1</v>
      </c>
      <c r="R94" s="22"/>
      <c r="S94" s="22"/>
      <c r="T94" s="22"/>
    </row>
    <row r="95" spans="5:20" x14ac:dyDescent="0.25">
      <c r="E95" s="14" t="s">
        <v>188</v>
      </c>
      <c r="F95" s="15" t="s">
        <v>189</v>
      </c>
      <c r="G95" s="28">
        <v>1</v>
      </c>
      <c r="H95" s="33">
        <f t="shared" ref="H95" si="16">ROUND(G95*$H$3,1)+0.2</f>
        <v>0.7</v>
      </c>
      <c r="I95" s="21">
        <f t="shared" si="13"/>
        <v>1</v>
      </c>
      <c r="J95" s="21">
        <f t="shared" si="13"/>
        <v>1</v>
      </c>
      <c r="K95" s="21">
        <f t="shared" si="13"/>
        <v>1</v>
      </c>
      <c r="L95" s="20">
        <f t="shared" si="13"/>
        <v>1</v>
      </c>
      <c r="M95" s="20">
        <f t="shared" si="13"/>
        <v>1</v>
      </c>
      <c r="N95" s="21">
        <f t="shared" si="13"/>
        <v>1</v>
      </c>
      <c r="O95" s="20">
        <f t="shared" si="13"/>
        <v>1</v>
      </c>
      <c r="P95" s="20">
        <f t="shared" si="13"/>
        <v>1</v>
      </c>
      <c r="Q95" s="21">
        <f t="shared" si="13"/>
        <v>1</v>
      </c>
      <c r="R95" s="22"/>
      <c r="S95" s="22"/>
      <c r="T95" s="22"/>
    </row>
    <row r="96" spans="5:20" x14ac:dyDescent="0.25">
      <c r="E96" s="14" t="s">
        <v>190</v>
      </c>
      <c r="F96" s="15" t="s">
        <v>191</v>
      </c>
      <c r="G96" s="28">
        <v>2</v>
      </c>
      <c r="H96" s="33">
        <f>ROUND(G96*$H$3,1)</f>
        <v>1</v>
      </c>
      <c r="I96" s="21">
        <f t="shared" si="13"/>
        <v>2</v>
      </c>
      <c r="J96" s="21">
        <f t="shared" si="13"/>
        <v>2</v>
      </c>
      <c r="K96" s="21">
        <f t="shared" si="13"/>
        <v>2</v>
      </c>
      <c r="L96" s="20">
        <f t="shared" si="13"/>
        <v>2</v>
      </c>
      <c r="M96" s="20">
        <f t="shared" si="13"/>
        <v>2</v>
      </c>
      <c r="N96" s="21">
        <f t="shared" si="13"/>
        <v>2</v>
      </c>
      <c r="O96" s="20">
        <f t="shared" si="13"/>
        <v>2</v>
      </c>
      <c r="P96" s="20">
        <f t="shared" si="13"/>
        <v>2</v>
      </c>
      <c r="Q96" s="21">
        <f t="shared" si="13"/>
        <v>2</v>
      </c>
      <c r="R96" s="22"/>
      <c r="S96" s="22"/>
      <c r="T96" s="22"/>
    </row>
    <row r="97" spans="5:20" ht="15" customHeight="1" x14ac:dyDescent="0.25">
      <c r="E97" s="14" t="s">
        <v>192</v>
      </c>
      <c r="F97" s="15" t="s">
        <v>193</v>
      </c>
      <c r="G97" s="28">
        <v>3</v>
      </c>
      <c r="H97" s="33">
        <f>ROUND(G97*$H$3,0)</f>
        <v>2</v>
      </c>
      <c r="I97" s="21">
        <f t="shared" si="13"/>
        <v>3</v>
      </c>
      <c r="J97" s="21">
        <f t="shared" si="13"/>
        <v>3</v>
      </c>
      <c r="K97" s="21">
        <f t="shared" si="13"/>
        <v>3</v>
      </c>
      <c r="L97" s="20">
        <f t="shared" si="13"/>
        <v>3</v>
      </c>
      <c r="M97" s="20">
        <f t="shared" si="13"/>
        <v>3</v>
      </c>
      <c r="N97" s="21">
        <f t="shared" si="13"/>
        <v>3</v>
      </c>
      <c r="O97" s="20">
        <f t="shared" si="13"/>
        <v>3</v>
      </c>
      <c r="P97" s="20">
        <f t="shared" si="13"/>
        <v>3</v>
      </c>
      <c r="Q97" s="21">
        <f t="shared" si="13"/>
        <v>3</v>
      </c>
      <c r="R97" s="22"/>
      <c r="S97" s="22"/>
      <c r="T97" s="22"/>
    </row>
    <row r="98" spans="5:20" ht="26.25" x14ac:dyDescent="0.25">
      <c r="E98" s="14" t="s">
        <v>194</v>
      </c>
      <c r="F98" s="15" t="s">
        <v>195</v>
      </c>
      <c r="G98" s="28">
        <v>1</v>
      </c>
      <c r="H98" s="33">
        <f>ROUND(G98*$H$3,1)+0.2</f>
        <v>0.7</v>
      </c>
      <c r="I98" s="135">
        <v>9</v>
      </c>
      <c r="J98" s="135">
        <v>9</v>
      </c>
      <c r="K98" s="135">
        <v>9</v>
      </c>
      <c r="L98" s="138">
        <v>1</v>
      </c>
      <c r="M98" s="138">
        <v>1</v>
      </c>
      <c r="N98" s="135">
        <v>9</v>
      </c>
      <c r="O98" s="138">
        <v>1</v>
      </c>
      <c r="P98" s="138">
        <v>1</v>
      </c>
      <c r="Q98" s="135">
        <v>9</v>
      </c>
      <c r="R98" s="22"/>
      <c r="S98" s="22"/>
      <c r="T98" s="22"/>
    </row>
    <row r="99" spans="5:20" ht="15" customHeight="1" x14ac:dyDescent="0.25">
      <c r="E99" s="14" t="s">
        <v>196</v>
      </c>
      <c r="F99" s="15" t="s">
        <v>197</v>
      </c>
      <c r="G99" s="28">
        <v>43</v>
      </c>
      <c r="H99" s="33"/>
      <c r="I99" s="136"/>
      <c r="J99" s="136"/>
      <c r="K99" s="136"/>
      <c r="L99" s="139"/>
      <c r="M99" s="139"/>
      <c r="N99" s="136"/>
      <c r="O99" s="139"/>
      <c r="P99" s="139"/>
      <c r="Q99" s="136"/>
      <c r="R99" s="22"/>
      <c r="S99" s="22"/>
      <c r="T99" s="22"/>
    </row>
    <row r="100" spans="5:20" ht="15" customHeight="1" x14ac:dyDescent="0.25">
      <c r="E100" s="14" t="s">
        <v>198</v>
      </c>
      <c r="F100" s="15" t="s">
        <v>199</v>
      </c>
      <c r="G100" s="28">
        <v>11</v>
      </c>
      <c r="H100" s="33"/>
      <c r="I100" s="137"/>
      <c r="J100" s="137"/>
      <c r="K100" s="137"/>
      <c r="L100" s="140"/>
      <c r="M100" s="140"/>
      <c r="N100" s="137"/>
      <c r="O100" s="140"/>
      <c r="P100" s="140"/>
      <c r="Q100" s="137"/>
      <c r="R100" s="22"/>
      <c r="S100" s="22"/>
      <c r="T100" s="22"/>
    </row>
    <row r="101" spans="5:20" ht="26.25" x14ac:dyDescent="0.25">
      <c r="E101" s="14" t="s">
        <v>200</v>
      </c>
      <c r="F101" s="15" t="s">
        <v>201</v>
      </c>
      <c r="G101" s="28">
        <v>52.7</v>
      </c>
      <c r="H101" s="33">
        <f>ROUND(G101*$H$3,0)</f>
        <v>26</v>
      </c>
      <c r="I101" s="21">
        <f t="shared" ref="I101:Q115" si="17">$G101*I$3</f>
        <v>52.7</v>
      </c>
      <c r="J101" s="21">
        <f t="shared" si="17"/>
        <v>52.7</v>
      </c>
      <c r="K101" s="21">
        <f t="shared" si="17"/>
        <v>52.7</v>
      </c>
      <c r="L101" s="20">
        <f t="shared" si="17"/>
        <v>52.7</v>
      </c>
      <c r="M101" s="20">
        <f t="shared" si="17"/>
        <v>52.7</v>
      </c>
      <c r="N101" s="21">
        <f t="shared" si="17"/>
        <v>52.7</v>
      </c>
      <c r="O101" s="20">
        <v>5</v>
      </c>
      <c r="P101" s="20">
        <v>5</v>
      </c>
      <c r="Q101" s="21">
        <f t="shared" si="17"/>
        <v>52.7</v>
      </c>
      <c r="R101" s="22"/>
      <c r="S101" s="22"/>
      <c r="T101" s="22"/>
    </row>
    <row r="102" spans="5:20" x14ac:dyDescent="0.25">
      <c r="E102" s="14" t="s">
        <v>202</v>
      </c>
      <c r="F102" s="15" t="s">
        <v>203</v>
      </c>
      <c r="G102" s="28">
        <v>2</v>
      </c>
      <c r="H102" s="33">
        <f>ROUND(G102*$H$3,1)</f>
        <v>1</v>
      </c>
      <c r="I102" s="21">
        <f t="shared" si="17"/>
        <v>2</v>
      </c>
      <c r="J102" s="21">
        <f t="shared" si="17"/>
        <v>2</v>
      </c>
      <c r="K102" s="21">
        <f t="shared" si="17"/>
        <v>2</v>
      </c>
      <c r="L102" s="20">
        <f t="shared" si="17"/>
        <v>2</v>
      </c>
      <c r="M102" s="20">
        <f t="shared" si="17"/>
        <v>2</v>
      </c>
      <c r="N102" s="21">
        <f t="shared" si="17"/>
        <v>2</v>
      </c>
      <c r="O102" s="20">
        <f t="shared" si="17"/>
        <v>2</v>
      </c>
      <c r="P102" s="20">
        <f t="shared" si="17"/>
        <v>2</v>
      </c>
      <c r="Q102" s="21">
        <f t="shared" si="17"/>
        <v>2</v>
      </c>
      <c r="R102" s="22"/>
      <c r="S102" s="22"/>
      <c r="T102" s="22"/>
    </row>
    <row r="103" spans="5:20" x14ac:dyDescent="0.25">
      <c r="E103" s="14" t="s">
        <v>204</v>
      </c>
      <c r="F103" s="15" t="s">
        <v>205</v>
      </c>
      <c r="G103" s="28">
        <v>2</v>
      </c>
      <c r="H103" s="33">
        <f>ROUND(G103*$H$3,1)</f>
        <v>1</v>
      </c>
      <c r="I103" s="21">
        <f t="shared" si="17"/>
        <v>2</v>
      </c>
      <c r="J103" s="21">
        <f t="shared" si="17"/>
        <v>2</v>
      </c>
      <c r="K103" s="21">
        <f t="shared" si="17"/>
        <v>2</v>
      </c>
      <c r="L103" s="20">
        <f t="shared" si="17"/>
        <v>2</v>
      </c>
      <c r="M103" s="20">
        <f t="shared" si="17"/>
        <v>2</v>
      </c>
      <c r="N103" s="21">
        <f t="shared" si="17"/>
        <v>2</v>
      </c>
      <c r="O103" s="20">
        <f t="shared" si="17"/>
        <v>2</v>
      </c>
      <c r="P103" s="20">
        <f t="shared" si="17"/>
        <v>2</v>
      </c>
      <c r="Q103" s="21">
        <f t="shared" si="17"/>
        <v>2</v>
      </c>
      <c r="R103" s="22"/>
      <c r="S103" s="22"/>
      <c r="T103" s="22"/>
    </row>
    <row r="104" spans="5:20" ht="26.25" x14ac:dyDescent="0.25">
      <c r="E104" s="24">
        <v>113</v>
      </c>
      <c r="F104" s="15" t="s">
        <v>206</v>
      </c>
      <c r="G104" s="28">
        <v>1</v>
      </c>
      <c r="H104" s="33">
        <f>ROUND(G104*$H$3,1)+0.2</f>
        <v>0.7</v>
      </c>
      <c r="I104" s="21">
        <f t="shared" si="17"/>
        <v>1</v>
      </c>
      <c r="J104" s="21">
        <f t="shared" si="17"/>
        <v>1</v>
      </c>
      <c r="K104" s="21">
        <f t="shared" si="17"/>
        <v>1</v>
      </c>
      <c r="L104" s="20">
        <f t="shared" si="17"/>
        <v>1</v>
      </c>
      <c r="M104" s="20">
        <f t="shared" si="17"/>
        <v>1</v>
      </c>
      <c r="N104" s="21">
        <f t="shared" si="17"/>
        <v>1</v>
      </c>
      <c r="O104" s="20">
        <f t="shared" si="17"/>
        <v>1</v>
      </c>
      <c r="P104" s="20">
        <f t="shared" si="17"/>
        <v>1</v>
      </c>
      <c r="Q104" s="21">
        <f t="shared" si="17"/>
        <v>1</v>
      </c>
      <c r="R104" s="22"/>
      <c r="S104" s="22"/>
      <c r="T104" s="22"/>
    </row>
    <row r="105" spans="5:20" ht="26.25" x14ac:dyDescent="0.25">
      <c r="E105" s="14" t="s">
        <v>207</v>
      </c>
      <c r="F105" s="15" t="s">
        <v>208</v>
      </c>
      <c r="G105" s="28">
        <v>1</v>
      </c>
      <c r="H105" s="33">
        <f>ROUND(G105*$H$3,1)+0.2</f>
        <v>0.7</v>
      </c>
      <c r="I105" s="21">
        <f t="shared" si="17"/>
        <v>1</v>
      </c>
      <c r="J105" s="21">
        <f t="shared" si="17"/>
        <v>1</v>
      </c>
      <c r="K105" s="21">
        <f t="shared" si="17"/>
        <v>1</v>
      </c>
      <c r="L105" s="20">
        <f t="shared" si="17"/>
        <v>1</v>
      </c>
      <c r="M105" s="20">
        <f t="shared" si="17"/>
        <v>1</v>
      </c>
      <c r="N105" s="21">
        <f t="shared" si="17"/>
        <v>1</v>
      </c>
      <c r="O105" s="20">
        <f t="shared" si="17"/>
        <v>1</v>
      </c>
      <c r="P105" s="20">
        <f t="shared" si="17"/>
        <v>1</v>
      </c>
      <c r="Q105" s="21">
        <f t="shared" si="17"/>
        <v>1</v>
      </c>
      <c r="R105" s="22"/>
      <c r="S105" s="22"/>
      <c r="T105" s="22"/>
    </row>
    <row r="106" spans="5:20" ht="39" x14ac:dyDescent="0.25">
      <c r="E106" s="14" t="s">
        <v>209</v>
      </c>
      <c r="F106" s="15" t="s">
        <v>210</v>
      </c>
      <c r="G106" s="28">
        <v>1</v>
      </c>
      <c r="H106" s="33">
        <f>ROUND(G106*$H$3,1)+0.2</f>
        <v>0.7</v>
      </c>
      <c r="I106" s="21">
        <f t="shared" si="17"/>
        <v>1</v>
      </c>
      <c r="J106" s="21">
        <f t="shared" si="17"/>
        <v>1</v>
      </c>
      <c r="K106" s="21">
        <f t="shared" si="17"/>
        <v>1</v>
      </c>
      <c r="L106" s="20">
        <f t="shared" si="17"/>
        <v>1</v>
      </c>
      <c r="M106" s="20">
        <f t="shared" si="17"/>
        <v>1</v>
      </c>
      <c r="N106" s="21">
        <f t="shared" si="17"/>
        <v>1</v>
      </c>
      <c r="O106" s="20">
        <f t="shared" si="17"/>
        <v>1</v>
      </c>
      <c r="P106" s="20">
        <f t="shared" si="17"/>
        <v>1</v>
      </c>
      <c r="Q106" s="21">
        <f t="shared" si="17"/>
        <v>1</v>
      </c>
      <c r="R106" s="22"/>
      <c r="S106" s="22"/>
      <c r="T106" s="22"/>
    </row>
    <row r="107" spans="5:20" x14ac:dyDescent="0.25">
      <c r="E107" s="14" t="s">
        <v>211</v>
      </c>
      <c r="F107" s="15" t="s">
        <v>212</v>
      </c>
      <c r="G107" s="28">
        <v>1</v>
      </c>
      <c r="H107" s="33">
        <f t="shared" ref="H107:H110" si="18">ROUND(G107*$H$3,1)+0.2</f>
        <v>0.7</v>
      </c>
      <c r="I107" s="21">
        <f t="shared" si="17"/>
        <v>1</v>
      </c>
      <c r="J107" s="21">
        <f t="shared" si="17"/>
        <v>1</v>
      </c>
      <c r="K107" s="21">
        <f t="shared" si="17"/>
        <v>1</v>
      </c>
      <c r="L107" s="20">
        <f t="shared" si="17"/>
        <v>1</v>
      </c>
      <c r="M107" s="20">
        <f t="shared" si="17"/>
        <v>1</v>
      </c>
      <c r="N107" s="21">
        <f t="shared" si="17"/>
        <v>1</v>
      </c>
      <c r="O107" s="20">
        <f t="shared" si="17"/>
        <v>1</v>
      </c>
      <c r="P107" s="20">
        <f t="shared" si="17"/>
        <v>1</v>
      </c>
      <c r="Q107" s="21">
        <f t="shared" si="17"/>
        <v>1</v>
      </c>
      <c r="R107" s="22"/>
      <c r="S107" s="22"/>
      <c r="T107" s="22"/>
    </row>
    <row r="108" spans="5:20" ht="26.25" x14ac:dyDescent="0.25">
      <c r="E108" s="14" t="s">
        <v>213</v>
      </c>
      <c r="F108" s="15" t="s">
        <v>214</v>
      </c>
      <c r="G108" s="28">
        <v>1</v>
      </c>
      <c r="H108" s="33">
        <f t="shared" si="18"/>
        <v>0.7</v>
      </c>
      <c r="I108" s="21">
        <f t="shared" si="17"/>
        <v>1</v>
      </c>
      <c r="J108" s="21">
        <f t="shared" si="17"/>
        <v>1</v>
      </c>
      <c r="K108" s="21">
        <f t="shared" si="17"/>
        <v>1</v>
      </c>
      <c r="L108" s="20">
        <f t="shared" si="17"/>
        <v>1</v>
      </c>
      <c r="M108" s="20">
        <f t="shared" si="17"/>
        <v>1</v>
      </c>
      <c r="N108" s="21">
        <f t="shared" si="17"/>
        <v>1</v>
      </c>
      <c r="O108" s="20">
        <f t="shared" si="17"/>
        <v>1</v>
      </c>
      <c r="P108" s="20">
        <f t="shared" si="17"/>
        <v>1</v>
      </c>
      <c r="Q108" s="21">
        <f t="shared" si="17"/>
        <v>1</v>
      </c>
      <c r="R108" s="22"/>
      <c r="S108" s="22"/>
      <c r="T108" s="22"/>
    </row>
    <row r="109" spans="5:20" ht="26.25" x14ac:dyDescent="0.25">
      <c r="E109" s="14" t="s">
        <v>215</v>
      </c>
      <c r="F109" s="15" t="s">
        <v>216</v>
      </c>
      <c r="G109" s="28">
        <v>2.5</v>
      </c>
      <c r="H109" s="33">
        <f>ROUND(G109*$H$3,1)-0.1</f>
        <v>1.2</v>
      </c>
      <c r="I109" s="21">
        <f t="shared" si="17"/>
        <v>2.5</v>
      </c>
      <c r="J109" s="21">
        <f t="shared" si="17"/>
        <v>2.5</v>
      </c>
      <c r="K109" s="21">
        <f t="shared" si="17"/>
        <v>2.5</v>
      </c>
      <c r="L109" s="20">
        <f t="shared" si="17"/>
        <v>2.5</v>
      </c>
      <c r="M109" s="20">
        <f t="shared" si="17"/>
        <v>2.5</v>
      </c>
      <c r="N109" s="21">
        <f t="shared" si="17"/>
        <v>2.5</v>
      </c>
      <c r="O109" s="20">
        <f t="shared" si="17"/>
        <v>2.5</v>
      </c>
      <c r="P109" s="20">
        <f t="shared" si="17"/>
        <v>2.5</v>
      </c>
      <c r="Q109" s="21">
        <f t="shared" si="17"/>
        <v>2.5</v>
      </c>
      <c r="R109" s="22"/>
      <c r="S109" s="22"/>
      <c r="T109" s="22"/>
    </row>
    <row r="110" spans="5:20" ht="18.75" customHeight="1" x14ac:dyDescent="0.25">
      <c r="E110" s="14" t="s">
        <v>217</v>
      </c>
      <c r="F110" s="15" t="s">
        <v>218</v>
      </c>
      <c r="G110" s="28">
        <v>1</v>
      </c>
      <c r="H110" s="33">
        <f t="shared" si="18"/>
        <v>0.7</v>
      </c>
      <c r="I110" s="21">
        <f t="shared" si="17"/>
        <v>1</v>
      </c>
      <c r="J110" s="21">
        <f t="shared" si="17"/>
        <v>1</v>
      </c>
      <c r="K110" s="21">
        <f t="shared" si="17"/>
        <v>1</v>
      </c>
      <c r="L110" s="20">
        <f t="shared" si="17"/>
        <v>1</v>
      </c>
      <c r="M110" s="20">
        <f t="shared" si="17"/>
        <v>1</v>
      </c>
      <c r="N110" s="21">
        <f t="shared" si="17"/>
        <v>1</v>
      </c>
      <c r="O110" s="20">
        <f t="shared" si="17"/>
        <v>1</v>
      </c>
      <c r="P110" s="20">
        <f t="shared" si="17"/>
        <v>1</v>
      </c>
      <c r="Q110" s="21">
        <f t="shared" si="17"/>
        <v>1</v>
      </c>
      <c r="R110" s="22"/>
      <c r="S110" s="22"/>
      <c r="T110" s="22"/>
    </row>
    <row r="111" spans="5:20" x14ac:dyDescent="0.25">
      <c r="E111" s="24">
        <v>1141405</v>
      </c>
      <c r="F111" s="15" t="s">
        <v>219</v>
      </c>
      <c r="G111" s="28">
        <v>3.45</v>
      </c>
      <c r="H111" s="33">
        <f>ROUND(G111*$H$3,0)</f>
        <v>2</v>
      </c>
      <c r="I111" s="21">
        <f t="shared" si="17"/>
        <v>3.45</v>
      </c>
      <c r="J111" s="21">
        <f t="shared" si="17"/>
        <v>3.45</v>
      </c>
      <c r="K111" s="21">
        <f t="shared" si="17"/>
        <v>3.45</v>
      </c>
      <c r="L111" s="20">
        <f t="shared" si="17"/>
        <v>3.45</v>
      </c>
      <c r="M111" s="20">
        <f t="shared" si="17"/>
        <v>3.45</v>
      </c>
      <c r="N111" s="21">
        <f t="shared" si="17"/>
        <v>3.45</v>
      </c>
      <c r="O111" s="20">
        <f t="shared" si="17"/>
        <v>3.45</v>
      </c>
      <c r="P111" s="20">
        <f t="shared" si="17"/>
        <v>3.45</v>
      </c>
      <c r="Q111" s="21">
        <f t="shared" si="17"/>
        <v>3.45</v>
      </c>
      <c r="R111" s="22"/>
      <c r="S111" s="22"/>
      <c r="T111" s="22"/>
    </row>
    <row r="112" spans="5:20" ht="30" customHeight="1" x14ac:dyDescent="0.25">
      <c r="E112" s="14" t="s">
        <v>220</v>
      </c>
      <c r="F112" s="15" t="s">
        <v>221</v>
      </c>
      <c r="G112" s="36">
        <v>1</v>
      </c>
      <c r="H112" s="33">
        <f>ROUND(G112*$H$3,1)+0.2</f>
        <v>0.7</v>
      </c>
      <c r="I112" s="21">
        <f t="shared" si="17"/>
        <v>1</v>
      </c>
      <c r="J112" s="21">
        <f t="shared" si="17"/>
        <v>1</v>
      </c>
      <c r="K112" s="21">
        <f t="shared" si="17"/>
        <v>1</v>
      </c>
      <c r="L112" s="20">
        <f t="shared" si="17"/>
        <v>1</v>
      </c>
      <c r="M112" s="20">
        <f t="shared" si="17"/>
        <v>1</v>
      </c>
      <c r="N112" s="21">
        <f t="shared" si="17"/>
        <v>1</v>
      </c>
      <c r="O112" s="20">
        <f t="shared" si="17"/>
        <v>1</v>
      </c>
      <c r="P112" s="20">
        <f t="shared" si="17"/>
        <v>1</v>
      </c>
      <c r="Q112" s="21">
        <f t="shared" si="17"/>
        <v>1</v>
      </c>
      <c r="R112" s="22"/>
      <c r="S112" s="22"/>
      <c r="T112" s="22"/>
    </row>
    <row r="113" spans="5:20" ht="30" customHeight="1" x14ac:dyDescent="0.25">
      <c r="E113" s="14" t="s">
        <v>222</v>
      </c>
      <c r="F113" s="15" t="s">
        <v>223</v>
      </c>
      <c r="G113" s="28">
        <v>4</v>
      </c>
      <c r="H113" s="33">
        <f>ROUND(G113*$H$3,0)</f>
        <v>2</v>
      </c>
      <c r="I113" s="21">
        <f t="shared" si="17"/>
        <v>4</v>
      </c>
      <c r="J113" s="21">
        <f t="shared" si="17"/>
        <v>4</v>
      </c>
      <c r="K113" s="21">
        <f t="shared" si="17"/>
        <v>4</v>
      </c>
      <c r="L113" s="20">
        <f t="shared" si="17"/>
        <v>4</v>
      </c>
      <c r="M113" s="20">
        <f t="shared" si="17"/>
        <v>4</v>
      </c>
      <c r="N113" s="21">
        <f t="shared" si="17"/>
        <v>4</v>
      </c>
      <c r="O113" s="20">
        <f t="shared" si="17"/>
        <v>4</v>
      </c>
      <c r="P113" s="20">
        <f t="shared" si="17"/>
        <v>4</v>
      </c>
      <c r="Q113" s="21">
        <f t="shared" si="17"/>
        <v>4</v>
      </c>
      <c r="R113" s="22"/>
      <c r="S113" s="22"/>
      <c r="T113" s="22"/>
    </row>
    <row r="114" spans="5:20" ht="19.5" customHeight="1" x14ac:dyDescent="0.25">
      <c r="E114" s="14" t="s">
        <v>224</v>
      </c>
      <c r="F114" s="15" t="s">
        <v>225</v>
      </c>
      <c r="G114" s="28">
        <v>6</v>
      </c>
      <c r="H114" s="33">
        <f>ROUND(G114*$H$3,0)</f>
        <v>3</v>
      </c>
      <c r="I114" s="21">
        <f t="shared" si="17"/>
        <v>6</v>
      </c>
      <c r="J114" s="21">
        <f t="shared" si="17"/>
        <v>6</v>
      </c>
      <c r="K114" s="21">
        <f t="shared" si="17"/>
        <v>6</v>
      </c>
      <c r="L114" s="20">
        <f t="shared" si="17"/>
        <v>6</v>
      </c>
      <c r="M114" s="20">
        <f t="shared" si="17"/>
        <v>6</v>
      </c>
      <c r="N114" s="21">
        <f t="shared" si="17"/>
        <v>6</v>
      </c>
      <c r="O114" s="20">
        <f t="shared" si="17"/>
        <v>6</v>
      </c>
      <c r="P114" s="20">
        <f t="shared" si="17"/>
        <v>6</v>
      </c>
      <c r="Q114" s="21">
        <f t="shared" si="17"/>
        <v>6</v>
      </c>
      <c r="R114" s="22"/>
      <c r="S114" s="22"/>
      <c r="T114" s="22"/>
    </row>
    <row r="115" spans="5:20" x14ac:dyDescent="0.25">
      <c r="E115" s="14" t="s">
        <v>226</v>
      </c>
      <c r="F115" s="15" t="s">
        <v>227</v>
      </c>
      <c r="G115" s="28">
        <v>1.5</v>
      </c>
      <c r="H115" s="33">
        <f>ROUND(G115*$H$3,1)+0.1</f>
        <v>0.9</v>
      </c>
      <c r="I115" s="21">
        <f t="shared" si="17"/>
        <v>1.5</v>
      </c>
      <c r="J115" s="21">
        <f t="shared" si="17"/>
        <v>1.5</v>
      </c>
      <c r="K115" s="21">
        <f t="shared" si="17"/>
        <v>1.5</v>
      </c>
      <c r="L115" s="20">
        <f t="shared" si="17"/>
        <v>1.5</v>
      </c>
      <c r="M115" s="20">
        <f t="shared" si="17"/>
        <v>1.5</v>
      </c>
      <c r="N115" s="21">
        <f t="shared" si="17"/>
        <v>1.5</v>
      </c>
      <c r="O115" s="20">
        <f t="shared" si="17"/>
        <v>1.5</v>
      </c>
      <c r="P115" s="20">
        <f t="shared" si="17"/>
        <v>1.5</v>
      </c>
      <c r="Q115" s="21">
        <f t="shared" si="17"/>
        <v>1.5</v>
      </c>
      <c r="R115" s="22"/>
      <c r="S115" s="22"/>
      <c r="T115" s="22"/>
    </row>
    <row r="116" spans="5:20" x14ac:dyDescent="0.25">
      <c r="E116" s="14" t="s">
        <v>228</v>
      </c>
      <c r="F116" s="15" t="s">
        <v>229</v>
      </c>
      <c r="G116" s="28">
        <v>11</v>
      </c>
      <c r="H116" s="33">
        <f>30</f>
        <v>30</v>
      </c>
      <c r="I116" s="21">
        <f t="shared" ref="I116:K116" si="19">$G116*I$6</f>
        <v>44</v>
      </c>
      <c r="J116" s="21">
        <f>11*4</f>
        <v>44</v>
      </c>
      <c r="K116" s="21">
        <f t="shared" si="19"/>
        <v>44</v>
      </c>
      <c r="L116" s="20">
        <f>11*2</f>
        <v>22</v>
      </c>
      <c r="M116" s="20">
        <v>12</v>
      </c>
      <c r="N116" s="21">
        <f t="shared" ref="N116" si="20">$G116*N$6</f>
        <v>44</v>
      </c>
      <c r="O116" s="20">
        <v>12</v>
      </c>
      <c r="P116" s="20">
        <v>2</v>
      </c>
      <c r="Q116" s="21">
        <f t="shared" ref="Q116" si="21">$G116*Q$6</f>
        <v>44</v>
      </c>
      <c r="R116" s="22"/>
      <c r="S116" s="22"/>
      <c r="T116" s="22"/>
    </row>
    <row r="117" spans="5:20" x14ac:dyDescent="0.25">
      <c r="E117" s="14" t="s">
        <v>230</v>
      </c>
      <c r="F117" s="15" t="s">
        <v>231</v>
      </c>
      <c r="G117" s="28">
        <v>8</v>
      </c>
      <c r="H117" s="33">
        <f>ROUND(G117*$H$3,1)</f>
        <v>4</v>
      </c>
      <c r="I117" s="21">
        <f t="shared" ref="I117:Q135" si="22">$G117*I$3</f>
        <v>8</v>
      </c>
      <c r="J117" s="21">
        <f t="shared" si="22"/>
        <v>8</v>
      </c>
      <c r="K117" s="21">
        <f t="shared" si="22"/>
        <v>8</v>
      </c>
      <c r="L117" s="20">
        <f t="shared" si="22"/>
        <v>8</v>
      </c>
      <c r="M117" s="20">
        <f t="shared" si="22"/>
        <v>8</v>
      </c>
      <c r="N117" s="21">
        <f t="shared" si="22"/>
        <v>8</v>
      </c>
      <c r="O117" s="20">
        <f t="shared" si="22"/>
        <v>8</v>
      </c>
      <c r="P117" s="20">
        <f t="shared" si="22"/>
        <v>8</v>
      </c>
      <c r="Q117" s="21">
        <f t="shared" si="22"/>
        <v>8</v>
      </c>
      <c r="R117" s="22"/>
      <c r="S117" s="22"/>
      <c r="T117" s="22"/>
    </row>
    <row r="118" spans="5:20" x14ac:dyDescent="0.25">
      <c r="E118" s="14" t="s">
        <v>232</v>
      </c>
      <c r="F118" s="15" t="s">
        <v>233</v>
      </c>
      <c r="G118" s="28">
        <v>4.5</v>
      </c>
      <c r="H118" s="33">
        <f>ROUND(G118*$H$3,0)</f>
        <v>2</v>
      </c>
      <c r="I118" s="21">
        <f t="shared" si="22"/>
        <v>4.5</v>
      </c>
      <c r="J118" s="21">
        <f t="shared" si="22"/>
        <v>4.5</v>
      </c>
      <c r="K118" s="21">
        <f t="shared" si="22"/>
        <v>4.5</v>
      </c>
      <c r="L118" s="20">
        <f t="shared" si="22"/>
        <v>4.5</v>
      </c>
      <c r="M118" s="20">
        <f t="shared" si="22"/>
        <v>4.5</v>
      </c>
      <c r="N118" s="21">
        <f t="shared" si="22"/>
        <v>4.5</v>
      </c>
      <c r="O118" s="20">
        <f t="shared" si="22"/>
        <v>4.5</v>
      </c>
      <c r="P118" s="20">
        <f t="shared" si="22"/>
        <v>4.5</v>
      </c>
      <c r="Q118" s="21">
        <f t="shared" si="22"/>
        <v>4.5</v>
      </c>
      <c r="R118" s="22"/>
      <c r="S118" s="22"/>
      <c r="T118" s="22"/>
    </row>
    <row r="119" spans="5:20" ht="26.25" x14ac:dyDescent="0.25">
      <c r="E119" s="14" t="s">
        <v>234</v>
      </c>
      <c r="F119" s="15" t="s">
        <v>235</v>
      </c>
      <c r="G119" s="28">
        <v>1</v>
      </c>
      <c r="H119" s="33">
        <f t="shared" ref="H119" si="23">ROUND(G119*$H$3,1)+0.2</f>
        <v>0.7</v>
      </c>
      <c r="I119" s="21">
        <f t="shared" si="22"/>
        <v>1</v>
      </c>
      <c r="J119" s="21">
        <f t="shared" si="22"/>
        <v>1</v>
      </c>
      <c r="K119" s="21">
        <f t="shared" si="22"/>
        <v>1</v>
      </c>
      <c r="L119" s="20">
        <f t="shared" si="22"/>
        <v>1</v>
      </c>
      <c r="M119" s="20">
        <f t="shared" si="22"/>
        <v>1</v>
      </c>
      <c r="N119" s="21">
        <f t="shared" si="22"/>
        <v>1</v>
      </c>
      <c r="O119" s="20">
        <f t="shared" si="22"/>
        <v>1</v>
      </c>
      <c r="P119" s="20">
        <f t="shared" si="22"/>
        <v>1</v>
      </c>
      <c r="Q119" s="21">
        <f t="shared" si="22"/>
        <v>1</v>
      </c>
      <c r="R119" s="22"/>
      <c r="S119" s="22"/>
      <c r="T119" s="22"/>
    </row>
    <row r="120" spans="5:20" x14ac:dyDescent="0.25">
      <c r="E120" s="14" t="s">
        <v>236</v>
      </c>
      <c r="F120" s="15" t="s">
        <v>237</v>
      </c>
      <c r="G120" s="28">
        <v>15.5</v>
      </c>
      <c r="H120" s="33">
        <f>ROUND(G120*$H$3,0)</f>
        <v>8</v>
      </c>
      <c r="I120" s="21">
        <f t="shared" si="22"/>
        <v>15.5</v>
      </c>
      <c r="J120" s="21">
        <f t="shared" si="22"/>
        <v>15.5</v>
      </c>
      <c r="K120" s="21">
        <f t="shared" si="22"/>
        <v>15.5</v>
      </c>
      <c r="L120" s="20">
        <f t="shared" si="22"/>
        <v>15.5</v>
      </c>
      <c r="M120" s="20">
        <f t="shared" si="22"/>
        <v>15.5</v>
      </c>
      <c r="N120" s="21">
        <f t="shared" si="22"/>
        <v>15.5</v>
      </c>
      <c r="O120" s="20">
        <f t="shared" si="22"/>
        <v>15.5</v>
      </c>
      <c r="P120" s="20">
        <f t="shared" si="22"/>
        <v>15.5</v>
      </c>
      <c r="Q120" s="21">
        <f t="shared" si="22"/>
        <v>15.5</v>
      </c>
      <c r="R120" s="22"/>
      <c r="S120" s="22"/>
      <c r="T120" s="22"/>
    </row>
    <row r="121" spans="5:20" x14ac:dyDescent="0.25">
      <c r="E121" s="14" t="s">
        <v>238</v>
      </c>
      <c r="F121" s="15" t="s">
        <v>239</v>
      </c>
      <c r="G121" s="28">
        <v>18.600000000000001</v>
      </c>
      <c r="H121" s="33">
        <f>ROUND(G121*$H$3,1)-0.2</f>
        <v>9.1000000000000014</v>
      </c>
      <c r="I121" s="21">
        <f t="shared" si="22"/>
        <v>18.600000000000001</v>
      </c>
      <c r="J121" s="21">
        <f t="shared" si="22"/>
        <v>18.600000000000001</v>
      </c>
      <c r="K121" s="21">
        <f t="shared" si="22"/>
        <v>18.600000000000001</v>
      </c>
      <c r="L121" s="20">
        <f t="shared" si="22"/>
        <v>18.600000000000001</v>
      </c>
      <c r="M121" s="20">
        <f t="shared" si="22"/>
        <v>18.600000000000001</v>
      </c>
      <c r="N121" s="21">
        <f t="shared" si="22"/>
        <v>18.600000000000001</v>
      </c>
      <c r="O121" s="20">
        <f t="shared" si="22"/>
        <v>18.600000000000001</v>
      </c>
      <c r="P121" s="20">
        <f t="shared" si="22"/>
        <v>18.600000000000001</v>
      </c>
      <c r="Q121" s="21">
        <f t="shared" si="22"/>
        <v>18.600000000000001</v>
      </c>
      <c r="R121" s="22"/>
      <c r="S121" s="22"/>
      <c r="T121" s="22"/>
    </row>
    <row r="122" spans="5:20" x14ac:dyDescent="0.25">
      <c r="E122" s="14" t="s">
        <v>240</v>
      </c>
      <c r="F122" s="15" t="s">
        <v>241</v>
      </c>
      <c r="G122" s="28">
        <v>20.100000000000001</v>
      </c>
      <c r="H122" s="33">
        <f>ROUND(G122*$H$3,1)</f>
        <v>10.1</v>
      </c>
      <c r="I122" s="21">
        <f t="shared" si="22"/>
        <v>20.100000000000001</v>
      </c>
      <c r="J122" s="21">
        <f t="shared" si="22"/>
        <v>20.100000000000001</v>
      </c>
      <c r="K122" s="21">
        <f t="shared" si="22"/>
        <v>20.100000000000001</v>
      </c>
      <c r="L122" s="20">
        <f t="shared" si="22"/>
        <v>20.100000000000001</v>
      </c>
      <c r="M122" s="20">
        <f t="shared" si="22"/>
        <v>20.100000000000001</v>
      </c>
      <c r="N122" s="21">
        <f t="shared" si="22"/>
        <v>20.100000000000001</v>
      </c>
      <c r="O122" s="20">
        <f t="shared" si="22"/>
        <v>20.100000000000001</v>
      </c>
      <c r="P122" s="20">
        <f t="shared" si="22"/>
        <v>20.100000000000001</v>
      </c>
      <c r="Q122" s="21">
        <f t="shared" si="22"/>
        <v>20.100000000000001</v>
      </c>
      <c r="R122" s="22"/>
      <c r="S122" s="22"/>
      <c r="T122" s="22"/>
    </row>
    <row r="123" spans="5:20" x14ac:dyDescent="0.25">
      <c r="E123" s="14" t="s">
        <v>242</v>
      </c>
      <c r="F123" s="15" t="s">
        <v>243</v>
      </c>
      <c r="G123" s="28">
        <v>8</v>
      </c>
      <c r="H123" s="33">
        <f>ROUND(G123*$H$3,1)</f>
        <v>4</v>
      </c>
      <c r="I123" s="21">
        <f t="shared" si="22"/>
        <v>8</v>
      </c>
      <c r="J123" s="21">
        <f t="shared" si="22"/>
        <v>8</v>
      </c>
      <c r="K123" s="21">
        <f t="shared" si="22"/>
        <v>8</v>
      </c>
      <c r="L123" s="20">
        <f t="shared" si="22"/>
        <v>8</v>
      </c>
      <c r="M123" s="20">
        <f t="shared" si="22"/>
        <v>8</v>
      </c>
      <c r="N123" s="21">
        <f t="shared" si="22"/>
        <v>8</v>
      </c>
      <c r="O123" s="20">
        <f t="shared" si="22"/>
        <v>8</v>
      </c>
      <c r="P123" s="20">
        <f t="shared" si="22"/>
        <v>8</v>
      </c>
      <c r="Q123" s="21">
        <f t="shared" si="22"/>
        <v>8</v>
      </c>
      <c r="R123" s="22"/>
      <c r="S123" s="22"/>
      <c r="T123" s="22"/>
    </row>
    <row r="124" spans="5:20" x14ac:dyDescent="0.25">
      <c r="E124" s="14" t="s">
        <v>244</v>
      </c>
      <c r="F124" s="15" t="s">
        <v>245</v>
      </c>
      <c r="G124" s="28">
        <v>8.25</v>
      </c>
      <c r="H124" s="33">
        <f>ROUND(G124*$H$3,0)</f>
        <v>4</v>
      </c>
      <c r="I124" s="21">
        <f t="shared" si="22"/>
        <v>8.25</v>
      </c>
      <c r="J124" s="21">
        <f t="shared" si="22"/>
        <v>8.25</v>
      </c>
      <c r="K124" s="21">
        <f t="shared" si="22"/>
        <v>8.25</v>
      </c>
      <c r="L124" s="20">
        <f t="shared" si="22"/>
        <v>8.25</v>
      </c>
      <c r="M124" s="20">
        <f t="shared" si="22"/>
        <v>8.25</v>
      </c>
      <c r="N124" s="21">
        <f t="shared" si="22"/>
        <v>8.25</v>
      </c>
      <c r="O124" s="20">
        <f t="shared" si="22"/>
        <v>8.25</v>
      </c>
      <c r="P124" s="20">
        <f t="shared" si="22"/>
        <v>8.25</v>
      </c>
      <c r="Q124" s="21">
        <f t="shared" si="22"/>
        <v>8.25</v>
      </c>
      <c r="R124" s="22"/>
      <c r="S124" s="22"/>
      <c r="T124" s="22"/>
    </row>
    <row r="125" spans="5:20" x14ac:dyDescent="0.25">
      <c r="E125" s="14" t="s">
        <v>246</v>
      </c>
      <c r="F125" s="15" t="s">
        <v>247</v>
      </c>
      <c r="G125" s="28">
        <v>5.5</v>
      </c>
      <c r="H125" s="33">
        <f>ROUND(G125*$H$3,1)+0.1</f>
        <v>2.9</v>
      </c>
      <c r="I125" s="21">
        <f t="shared" si="22"/>
        <v>5.5</v>
      </c>
      <c r="J125" s="21">
        <f t="shared" si="22"/>
        <v>5.5</v>
      </c>
      <c r="K125" s="21">
        <f t="shared" si="22"/>
        <v>5.5</v>
      </c>
      <c r="L125" s="20">
        <f t="shared" si="22"/>
        <v>5.5</v>
      </c>
      <c r="M125" s="20">
        <f t="shared" si="22"/>
        <v>5.5</v>
      </c>
      <c r="N125" s="21">
        <f t="shared" si="22"/>
        <v>5.5</v>
      </c>
      <c r="O125" s="20">
        <f t="shared" si="22"/>
        <v>5.5</v>
      </c>
      <c r="P125" s="20">
        <f t="shared" si="22"/>
        <v>5.5</v>
      </c>
      <c r="Q125" s="21">
        <f t="shared" si="22"/>
        <v>5.5</v>
      </c>
      <c r="R125" s="22"/>
      <c r="S125" s="22"/>
      <c r="T125" s="22"/>
    </row>
    <row r="126" spans="5:20" x14ac:dyDescent="0.25">
      <c r="E126" s="14" t="s">
        <v>248</v>
      </c>
      <c r="F126" s="15" t="s">
        <v>249</v>
      </c>
      <c r="G126" s="28">
        <v>6.5</v>
      </c>
      <c r="H126" s="33">
        <f>ROUND(G126*$H$3,1)-0.1</f>
        <v>3.1999999999999997</v>
      </c>
      <c r="I126" s="21">
        <f t="shared" si="22"/>
        <v>6.5</v>
      </c>
      <c r="J126" s="21">
        <f t="shared" si="22"/>
        <v>6.5</v>
      </c>
      <c r="K126" s="21">
        <f t="shared" si="22"/>
        <v>6.5</v>
      </c>
      <c r="L126" s="20">
        <f t="shared" si="22"/>
        <v>6.5</v>
      </c>
      <c r="M126" s="20">
        <f t="shared" si="22"/>
        <v>6.5</v>
      </c>
      <c r="N126" s="21">
        <f t="shared" si="22"/>
        <v>6.5</v>
      </c>
      <c r="O126" s="20">
        <f t="shared" si="22"/>
        <v>6.5</v>
      </c>
      <c r="P126" s="20">
        <f t="shared" si="22"/>
        <v>6.5</v>
      </c>
      <c r="Q126" s="21">
        <f t="shared" si="22"/>
        <v>6.5</v>
      </c>
      <c r="R126" s="22"/>
      <c r="S126" s="22"/>
      <c r="T126" s="22"/>
    </row>
    <row r="127" spans="5:20" x14ac:dyDescent="0.25">
      <c r="E127" s="14" t="s">
        <v>250</v>
      </c>
      <c r="F127" s="15" t="s">
        <v>251</v>
      </c>
      <c r="G127" s="28">
        <v>2</v>
      </c>
      <c r="H127" s="33">
        <f>ROUND(G127*$H$3,1)</f>
        <v>1</v>
      </c>
      <c r="I127" s="21">
        <f t="shared" si="22"/>
        <v>2</v>
      </c>
      <c r="J127" s="21">
        <f t="shared" si="22"/>
        <v>2</v>
      </c>
      <c r="K127" s="21">
        <f t="shared" si="22"/>
        <v>2</v>
      </c>
      <c r="L127" s="20">
        <f t="shared" si="22"/>
        <v>2</v>
      </c>
      <c r="M127" s="20">
        <f t="shared" si="22"/>
        <v>2</v>
      </c>
      <c r="N127" s="21">
        <f t="shared" si="22"/>
        <v>2</v>
      </c>
      <c r="O127" s="20">
        <f t="shared" si="22"/>
        <v>2</v>
      </c>
      <c r="P127" s="20">
        <f t="shared" si="22"/>
        <v>2</v>
      </c>
      <c r="Q127" s="21">
        <f t="shared" si="22"/>
        <v>2</v>
      </c>
      <c r="R127" s="22"/>
      <c r="S127" s="22"/>
      <c r="T127" s="22"/>
    </row>
    <row r="128" spans="5:20" x14ac:dyDescent="0.25">
      <c r="E128" s="14" t="s">
        <v>252</v>
      </c>
      <c r="F128" s="15" t="s">
        <v>253</v>
      </c>
      <c r="G128" s="28">
        <v>3.1</v>
      </c>
      <c r="H128" s="33">
        <f>ROUND(G128*$H$3,0)</f>
        <v>2</v>
      </c>
      <c r="I128" s="21">
        <f t="shared" si="22"/>
        <v>3.1</v>
      </c>
      <c r="J128" s="21">
        <f t="shared" si="22"/>
        <v>3.1</v>
      </c>
      <c r="K128" s="21">
        <f t="shared" si="22"/>
        <v>3.1</v>
      </c>
      <c r="L128" s="20">
        <f t="shared" si="22"/>
        <v>3.1</v>
      </c>
      <c r="M128" s="20">
        <f t="shared" si="22"/>
        <v>3.1</v>
      </c>
      <c r="N128" s="21">
        <f t="shared" si="22"/>
        <v>3.1</v>
      </c>
      <c r="O128" s="20">
        <f t="shared" si="22"/>
        <v>3.1</v>
      </c>
      <c r="P128" s="20">
        <f t="shared" si="22"/>
        <v>3.1</v>
      </c>
      <c r="Q128" s="21">
        <f t="shared" si="22"/>
        <v>3.1</v>
      </c>
      <c r="R128" s="22"/>
      <c r="S128" s="22"/>
      <c r="T128" s="22"/>
    </row>
    <row r="129" spans="5:20" x14ac:dyDescent="0.25">
      <c r="E129" s="14" t="s">
        <v>254</v>
      </c>
      <c r="F129" s="15" t="s">
        <v>255</v>
      </c>
      <c r="G129" s="28">
        <v>1</v>
      </c>
      <c r="H129" s="33">
        <f>ROUND(G129*$H$3,1)+0.2</f>
        <v>0.7</v>
      </c>
      <c r="I129" s="21">
        <f t="shared" si="22"/>
        <v>1</v>
      </c>
      <c r="J129" s="21">
        <f t="shared" si="22"/>
        <v>1</v>
      </c>
      <c r="K129" s="21">
        <f t="shared" si="22"/>
        <v>1</v>
      </c>
      <c r="L129" s="20">
        <f t="shared" si="22"/>
        <v>1</v>
      </c>
      <c r="M129" s="20">
        <f t="shared" si="22"/>
        <v>1</v>
      </c>
      <c r="N129" s="21">
        <f t="shared" si="22"/>
        <v>1</v>
      </c>
      <c r="O129" s="20">
        <f t="shared" si="22"/>
        <v>1</v>
      </c>
      <c r="P129" s="20">
        <f t="shared" si="22"/>
        <v>1</v>
      </c>
      <c r="Q129" s="21">
        <f t="shared" si="22"/>
        <v>1</v>
      </c>
      <c r="R129" s="22"/>
      <c r="S129" s="22"/>
      <c r="T129" s="22"/>
    </row>
    <row r="130" spans="5:20" x14ac:dyDescent="0.25">
      <c r="E130" s="24">
        <v>11417</v>
      </c>
      <c r="F130" s="32" t="s">
        <v>256</v>
      </c>
      <c r="G130" s="28">
        <v>1</v>
      </c>
      <c r="H130" s="33">
        <f>ROUND(G130*$H$3,1)+0.2</f>
        <v>0.7</v>
      </c>
      <c r="I130" s="21">
        <f t="shared" si="22"/>
        <v>1</v>
      </c>
      <c r="J130" s="21">
        <f t="shared" si="22"/>
        <v>1</v>
      </c>
      <c r="K130" s="21">
        <f t="shared" si="22"/>
        <v>1</v>
      </c>
      <c r="L130" s="20">
        <f t="shared" si="22"/>
        <v>1</v>
      </c>
      <c r="M130" s="20">
        <f t="shared" si="22"/>
        <v>1</v>
      </c>
      <c r="N130" s="21">
        <f t="shared" si="22"/>
        <v>1</v>
      </c>
      <c r="O130" s="20">
        <f t="shared" si="22"/>
        <v>1</v>
      </c>
      <c r="P130" s="20">
        <f t="shared" si="22"/>
        <v>1</v>
      </c>
      <c r="Q130" s="21">
        <f t="shared" si="22"/>
        <v>1</v>
      </c>
      <c r="R130" s="22"/>
      <c r="S130" s="22"/>
      <c r="T130" s="22"/>
    </row>
    <row r="131" spans="5:20" x14ac:dyDescent="0.25">
      <c r="E131" s="24">
        <v>1141711</v>
      </c>
      <c r="F131" s="32" t="s">
        <v>257</v>
      </c>
      <c r="G131" s="28">
        <v>9.1999999999999993</v>
      </c>
      <c r="H131" s="33">
        <v>10</v>
      </c>
      <c r="I131" s="21">
        <f t="shared" si="22"/>
        <v>9.1999999999999993</v>
      </c>
      <c r="J131" s="21">
        <f t="shared" si="22"/>
        <v>9.1999999999999993</v>
      </c>
      <c r="K131" s="21">
        <f t="shared" si="22"/>
        <v>9.1999999999999993</v>
      </c>
      <c r="L131" s="20">
        <f t="shared" si="22"/>
        <v>9.1999999999999993</v>
      </c>
      <c r="M131" s="20">
        <f t="shared" si="22"/>
        <v>9.1999999999999993</v>
      </c>
      <c r="N131" s="21">
        <f t="shared" si="22"/>
        <v>9.1999999999999993</v>
      </c>
      <c r="O131" s="20">
        <f t="shared" si="22"/>
        <v>9.1999999999999993</v>
      </c>
      <c r="P131" s="20">
        <f t="shared" si="22"/>
        <v>9.1999999999999993</v>
      </c>
      <c r="Q131" s="21">
        <f t="shared" si="22"/>
        <v>9.1999999999999993</v>
      </c>
      <c r="R131" s="22"/>
      <c r="S131" s="22"/>
      <c r="T131" s="22"/>
    </row>
    <row r="132" spans="5:20" ht="51.75" x14ac:dyDescent="0.25">
      <c r="E132" s="37">
        <v>11418</v>
      </c>
      <c r="F132" s="32" t="s">
        <v>258</v>
      </c>
      <c r="G132" s="28">
        <v>1</v>
      </c>
      <c r="H132" s="33">
        <f>ROUND(G132*$H$3,1)+0.2</f>
        <v>0.7</v>
      </c>
      <c r="I132" s="21">
        <f t="shared" si="22"/>
        <v>1</v>
      </c>
      <c r="J132" s="21">
        <f t="shared" si="22"/>
        <v>1</v>
      </c>
      <c r="K132" s="21">
        <f t="shared" si="22"/>
        <v>1</v>
      </c>
      <c r="L132" s="19">
        <f t="shared" si="22"/>
        <v>1</v>
      </c>
      <c r="M132" s="19">
        <f t="shared" si="22"/>
        <v>1</v>
      </c>
      <c r="N132" s="21">
        <f t="shared" si="22"/>
        <v>1</v>
      </c>
      <c r="O132" s="19">
        <f t="shared" si="22"/>
        <v>1</v>
      </c>
      <c r="P132" s="19">
        <f t="shared" si="22"/>
        <v>1</v>
      </c>
      <c r="Q132" s="21">
        <f t="shared" si="22"/>
        <v>1</v>
      </c>
      <c r="R132" s="27"/>
      <c r="S132" s="27"/>
      <c r="T132" s="27"/>
    </row>
    <row r="133" spans="5:20" ht="29.25" customHeight="1" x14ac:dyDescent="0.25">
      <c r="E133" s="14" t="s">
        <v>259</v>
      </c>
      <c r="F133" s="15" t="s">
        <v>260</v>
      </c>
      <c r="G133" s="28">
        <v>1</v>
      </c>
      <c r="H133" s="33">
        <f>ROUND(G133*$H$3,1)+0.2</f>
        <v>0.7</v>
      </c>
      <c r="I133" s="21">
        <f t="shared" si="22"/>
        <v>1</v>
      </c>
      <c r="J133" s="21">
        <f t="shared" si="22"/>
        <v>1</v>
      </c>
      <c r="K133" s="21">
        <f t="shared" si="22"/>
        <v>1</v>
      </c>
      <c r="L133" s="20">
        <f t="shared" si="22"/>
        <v>1</v>
      </c>
      <c r="M133" s="20">
        <f t="shared" si="22"/>
        <v>1</v>
      </c>
      <c r="N133" s="21">
        <f t="shared" si="22"/>
        <v>1</v>
      </c>
      <c r="O133" s="20">
        <f t="shared" si="22"/>
        <v>1</v>
      </c>
      <c r="P133" s="20">
        <f t="shared" si="22"/>
        <v>1</v>
      </c>
      <c r="Q133" s="21">
        <f t="shared" si="22"/>
        <v>1</v>
      </c>
      <c r="R133" s="22"/>
      <c r="S133" s="22"/>
      <c r="T133" s="22"/>
    </row>
    <row r="134" spans="5:20" x14ac:dyDescent="0.25">
      <c r="E134" s="14" t="s">
        <v>261</v>
      </c>
      <c r="F134" s="15" t="s">
        <v>262</v>
      </c>
      <c r="G134" s="28">
        <v>0.55000000000000004</v>
      </c>
      <c r="H134" s="33">
        <f>ROUND(G134*$H$3,1)+0.4</f>
        <v>0.7</v>
      </c>
      <c r="I134" s="21">
        <f t="shared" si="22"/>
        <v>0.55000000000000004</v>
      </c>
      <c r="J134" s="21">
        <f t="shared" si="22"/>
        <v>0.55000000000000004</v>
      </c>
      <c r="K134" s="21">
        <f t="shared" si="22"/>
        <v>0.55000000000000004</v>
      </c>
      <c r="L134" s="20">
        <f t="shared" si="22"/>
        <v>0.55000000000000004</v>
      </c>
      <c r="M134" s="20">
        <f t="shared" si="22"/>
        <v>0.55000000000000004</v>
      </c>
      <c r="N134" s="21">
        <f t="shared" si="22"/>
        <v>0.55000000000000004</v>
      </c>
      <c r="O134" s="20">
        <f t="shared" si="22"/>
        <v>0.55000000000000004</v>
      </c>
      <c r="P134" s="20">
        <f t="shared" si="22"/>
        <v>0.55000000000000004</v>
      </c>
      <c r="Q134" s="21">
        <f t="shared" si="22"/>
        <v>0.55000000000000004</v>
      </c>
      <c r="R134" s="22"/>
      <c r="S134" s="22"/>
      <c r="T134" s="22"/>
    </row>
    <row r="135" spans="5:20" ht="26.25" x14ac:dyDescent="0.25">
      <c r="E135" s="14" t="s">
        <v>263</v>
      </c>
      <c r="F135" s="15" t="s">
        <v>264</v>
      </c>
      <c r="G135" s="28">
        <v>0.6</v>
      </c>
      <c r="H135" s="33">
        <f>ROUND(G135*$H$3,1)+0.3</f>
        <v>0.6</v>
      </c>
      <c r="I135" s="21">
        <f t="shared" si="22"/>
        <v>0.6</v>
      </c>
      <c r="J135" s="21">
        <f t="shared" si="22"/>
        <v>0.6</v>
      </c>
      <c r="K135" s="21">
        <f t="shared" si="22"/>
        <v>0.6</v>
      </c>
      <c r="L135" s="19">
        <f t="shared" si="22"/>
        <v>0.6</v>
      </c>
      <c r="M135" s="19">
        <f t="shared" si="22"/>
        <v>0.6</v>
      </c>
      <c r="N135" s="21">
        <f t="shared" si="22"/>
        <v>0.6</v>
      </c>
      <c r="O135" s="19">
        <f t="shared" si="22"/>
        <v>0.6</v>
      </c>
      <c r="P135" s="19">
        <f t="shared" si="22"/>
        <v>0.6</v>
      </c>
      <c r="Q135" s="21">
        <f t="shared" si="22"/>
        <v>0.6</v>
      </c>
      <c r="R135" s="22"/>
      <c r="S135" s="22"/>
      <c r="T135" s="22"/>
    </row>
    <row r="136" spans="5:20" ht="26.25" x14ac:dyDescent="0.25">
      <c r="E136" s="14" t="s">
        <v>265</v>
      </c>
      <c r="F136" s="15" t="s">
        <v>266</v>
      </c>
      <c r="G136" s="28">
        <v>0.75</v>
      </c>
      <c r="H136" s="33">
        <f>ROUND(G136*$H$3,1)+0.3</f>
        <v>0.7</v>
      </c>
      <c r="I136" s="21">
        <f t="shared" ref="I136:Q144" si="24">$G136*I$3</f>
        <v>0.75</v>
      </c>
      <c r="J136" s="21">
        <f t="shared" si="24"/>
        <v>0.75</v>
      </c>
      <c r="K136" s="21">
        <f t="shared" si="24"/>
        <v>0.75</v>
      </c>
      <c r="L136" s="19">
        <f t="shared" si="24"/>
        <v>0.75</v>
      </c>
      <c r="M136" s="19">
        <f t="shared" si="24"/>
        <v>0.75</v>
      </c>
      <c r="N136" s="21">
        <f t="shared" si="24"/>
        <v>0.75</v>
      </c>
      <c r="O136" s="19">
        <f t="shared" si="24"/>
        <v>0.75</v>
      </c>
      <c r="P136" s="19">
        <f t="shared" si="24"/>
        <v>0.75</v>
      </c>
      <c r="Q136" s="21">
        <f t="shared" si="24"/>
        <v>0.75</v>
      </c>
      <c r="R136" s="22"/>
      <c r="S136" s="22"/>
      <c r="T136" s="22"/>
    </row>
    <row r="137" spans="5:20" ht="39" x14ac:dyDescent="0.25">
      <c r="E137" s="14" t="s">
        <v>267</v>
      </c>
      <c r="F137" s="15" t="s">
        <v>268</v>
      </c>
      <c r="G137" s="28">
        <v>0.2</v>
      </c>
      <c r="H137" s="33">
        <f>ROUND(G137*$H$3,1)+0.4</f>
        <v>0.5</v>
      </c>
      <c r="I137" s="21">
        <v>1</v>
      </c>
      <c r="J137" s="21">
        <v>1</v>
      </c>
      <c r="K137" s="21">
        <v>1</v>
      </c>
      <c r="L137" s="19">
        <v>1</v>
      </c>
      <c r="M137" s="19">
        <v>1</v>
      </c>
      <c r="N137" s="21">
        <v>1</v>
      </c>
      <c r="O137" s="19">
        <v>1</v>
      </c>
      <c r="P137" s="19">
        <v>1</v>
      </c>
      <c r="Q137" s="21">
        <v>1</v>
      </c>
      <c r="R137" s="22"/>
      <c r="S137" s="22"/>
      <c r="T137" s="22"/>
    </row>
    <row r="138" spans="5:20" ht="26.25" x14ac:dyDescent="0.25">
      <c r="E138" s="14" t="s">
        <v>269</v>
      </c>
      <c r="F138" s="15" t="s">
        <v>270</v>
      </c>
      <c r="G138" s="28">
        <v>0.2</v>
      </c>
      <c r="H138" s="33">
        <f>ROUND(G138*$H$3,1)+0.4</f>
        <v>0.5</v>
      </c>
      <c r="I138" s="21">
        <v>1</v>
      </c>
      <c r="J138" s="21">
        <v>1</v>
      </c>
      <c r="K138" s="21">
        <v>1</v>
      </c>
      <c r="L138" s="19">
        <v>1</v>
      </c>
      <c r="M138" s="19">
        <v>1</v>
      </c>
      <c r="N138" s="21">
        <v>1</v>
      </c>
      <c r="O138" s="19">
        <v>1</v>
      </c>
      <c r="P138" s="19">
        <v>1</v>
      </c>
      <c r="Q138" s="21">
        <v>1</v>
      </c>
      <c r="R138" s="22"/>
      <c r="S138" s="22"/>
      <c r="T138" s="22"/>
    </row>
    <row r="139" spans="5:20" ht="26.25" x14ac:dyDescent="0.25">
      <c r="E139" s="14" t="s">
        <v>271</v>
      </c>
      <c r="F139" s="15" t="s">
        <v>272</v>
      </c>
      <c r="G139" s="28">
        <v>1.9</v>
      </c>
      <c r="H139" s="33">
        <f>ROUNDUP(G139*$H$3,0)</f>
        <v>1</v>
      </c>
      <c r="I139" s="21">
        <f t="shared" si="24"/>
        <v>1.9</v>
      </c>
      <c r="J139" s="21">
        <f t="shared" si="24"/>
        <v>1.9</v>
      </c>
      <c r="K139" s="21">
        <f t="shared" si="24"/>
        <v>1.9</v>
      </c>
      <c r="L139" s="20">
        <f t="shared" si="24"/>
        <v>1.9</v>
      </c>
      <c r="M139" s="20">
        <f t="shared" si="24"/>
        <v>1.9</v>
      </c>
      <c r="N139" s="21">
        <f t="shared" si="24"/>
        <v>1.9</v>
      </c>
      <c r="O139" s="20">
        <f t="shared" si="24"/>
        <v>1.9</v>
      </c>
      <c r="P139" s="20">
        <f t="shared" si="24"/>
        <v>1.9</v>
      </c>
      <c r="Q139" s="21">
        <f t="shared" si="24"/>
        <v>1.9</v>
      </c>
      <c r="R139" s="22"/>
      <c r="S139" s="22"/>
      <c r="T139" s="22"/>
    </row>
    <row r="140" spans="5:20" ht="26.25" x14ac:dyDescent="0.25">
      <c r="E140" s="14" t="s">
        <v>273</v>
      </c>
      <c r="F140" s="15" t="s">
        <v>274</v>
      </c>
      <c r="G140" s="28">
        <v>0.35000000000000003</v>
      </c>
      <c r="H140" s="33">
        <f t="shared" ref="H140:H142" si="25">ROUND(G140*$H$3,1)+0.4</f>
        <v>0.60000000000000009</v>
      </c>
      <c r="I140" s="21">
        <v>1</v>
      </c>
      <c r="J140" s="21">
        <v>1</v>
      </c>
      <c r="K140" s="21">
        <v>1</v>
      </c>
      <c r="L140" s="19">
        <v>1</v>
      </c>
      <c r="M140" s="19">
        <v>1</v>
      </c>
      <c r="N140" s="21">
        <v>1</v>
      </c>
      <c r="O140" s="19">
        <v>1</v>
      </c>
      <c r="P140" s="19">
        <v>1</v>
      </c>
      <c r="Q140" s="21">
        <v>1</v>
      </c>
      <c r="R140" s="22"/>
      <c r="S140" s="22"/>
      <c r="T140" s="22"/>
    </row>
    <row r="141" spans="5:20" ht="26.25" x14ac:dyDescent="0.25">
      <c r="E141" s="14" t="s">
        <v>275</v>
      </c>
      <c r="F141" s="15" t="s">
        <v>276</v>
      </c>
      <c r="G141" s="28">
        <v>1.25</v>
      </c>
      <c r="H141" s="33">
        <f>ROUND(G141*$H$3,1)+0.2</f>
        <v>0.8</v>
      </c>
      <c r="I141" s="21">
        <f t="shared" ref="I141:Q141" si="26">$G141*I$3</f>
        <v>1.25</v>
      </c>
      <c r="J141" s="21">
        <f t="shared" si="26"/>
        <v>1.25</v>
      </c>
      <c r="K141" s="21">
        <f t="shared" si="26"/>
        <v>1.25</v>
      </c>
      <c r="L141" s="19">
        <f t="shared" si="26"/>
        <v>1.25</v>
      </c>
      <c r="M141" s="19">
        <f t="shared" si="26"/>
        <v>1.25</v>
      </c>
      <c r="N141" s="21">
        <f t="shared" si="26"/>
        <v>1.25</v>
      </c>
      <c r="O141" s="19">
        <f t="shared" si="26"/>
        <v>1.25</v>
      </c>
      <c r="P141" s="19">
        <f t="shared" si="26"/>
        <v>1.25</v>
      </c>
      <c r="Q141" s="21">
        <f t="shared" si="26"/>
        <v>1.25</v>
      </c>
      <c r="R141" s="22"/>
      <c r="S141" s="22"/>
      <c r="T141" s="22"/>
    </row>
    <row r="142" spans="5:20" x14ac:dyDescent="0.25">
      <c r="E142" s="14" t="s">
        <v>277</v>
      </c>
      <c r="F142" s="32" t="s">
        <v>278</v>
      </c>
      <c r="G142" s="28">
        <v>0.35</v>
      </c>
      <c r="H142" s="33">
        <f t="shared" si="25"/>
        <v>0.60000000000000009</v>
      </c>
      <c r="I142" s="21">
        <v>1</v>
      </c>
      <c r="J142" s="21">
        <v>1</v>
      </c>
      <c r="K142" s="21">
        <v>1</v>
      </c>
      <c r="L142" s="19">
        <v>1</v>
      </c>
      <c r="M142" s="19">
        <v>1</v>
      </c>
      <c r="N142" s="21">
        <v>1</v>
      </c>
      <c r="O142" s="19">
        <v>1</v>
      </c>
      <c r="P142" s="19">
        <v>1</v>
      </c>
      <c r="Q142" s="21">
        <v>1</v>
      </c>
      <c r="R142" s="22"/>
      <c r="S142" s="22"/>
      <c r="T142" s="22"/>
    </row>
    <row r="143" spans="5:20" x14ac:dyDescent="0.25">
      <c r="E143" s="14" t="s">
        <v>279</v>
      </c>
      <c r="F143" s="32" t="s">
        <v>280</v>
      </c>
      <c r="G143" s="28">
        <v>0.1</v>
      </c>
      <c r="H143" s="33">
        <f>ROUND(G143*$H$3,1)+0.5</f>
        <v>0.6</v>
      </c>
      <c r="I143" s="21">
        <v>1</v>
      </c>
      <c r="J143" s="21">
        <v>1</v>
      </c>
      <c r="K143" s="21">
        <v>1</v>
      </c>
      <c r="L143" s="19">
        <v>1</v>
      </c>
      <c r="M143" s="19">
        <v>1</v>
      </c>
      <c r="N143" s="21">
        <v>1</v>
      </c>
      <c r="O143" s="19">
        <v>1</v>
      </c>
      <c r="P143" s="19">
        <v>1</v>
      </c>
      <c r="Q143" s="21">
        <v>1</v>
      </c>
      <c r="R143" s="27"/>
      <c r="S143" s="27"/>
      <c r="T143" s="27"/>
    </row>
    <row r="144" spans="5:20" ht="26.25" x14ac:dyDescent="0.25">
      <c r="E144" s="14" t="s">
        <v>281</v>
      </c>
      <c r="F144" s="15" t="s">
        <v>282</v>
      </c>
      <c r="G144" s="28">
        <v>0.75</v>
      </c>
      <c r="H144" s="33">
        <f>ROUND(G144*$H$3,1)+0.3</f>
        <v>0.7</v>
      </c>
      <c r="I144" s="21">
        <f t="shared" si="24"/>
        <v>0.75</v>
      </c>
      <c r="J144" s="21">
        <f t="shared" si="24"/>
        <v>0.75</v>
      </c>
      <c r="K144" s="21">
        <f t="shared" si="24"/>
        <v>0.75</v>
      </c>
      <c r="L144" s="19">
        <f t="shared" si="24"/>
        <v>0.75</v>
      </c>
      <c r="M144" s="19">
        <f t="shared" si="24"/>
        <v>0.75</v>
      </c>
      <c r="N144" s="21">
        <f t="shared" si="24"/>
        <v>0.75</v>
      </c>
      <c r="O144" s="19">
        <f t="shared" si="24"/>
        <v>0.75</v>
      </c>
      <c r="P144" s="19">
        <f t="shared" si="24"/>
        <v>0.75</v>
      </c>
      <c r="Q144" s="21">
        <f t="shared" si="24"/>
        <v>0.75</v>
      </c>
      <c r="R144" s="22"/>
      <c r="S144" s="22"/>
      <c r="T144" s="22"/>
    </row>
    <row r="145" spans="5:20" x14ac:dyDescent="0.25">
      <c r="E145" s="14" t="s">
        <v>283</v>
      </c>
      <c r="F145" s="15" t="s">
        <v>284</v>
      </c>
      <c r="G145" s="28">
        <v>2</v>
      </c>
      <c r="H145" s="33">
        <f>ROUND(G145*$H$3,0)</f>
        <v>1</v>
      </c>
      <c r="I145" s="21">
        <v>2</v>
      </c>
      <c r="J145" s="21">
        <v>2</v>
      </c>
      <c r="K145" s="21">
        <v>2</v>
      </c>
      <c r="L145" s="19">
        <v>1</v>
      </c>
      <c r="M145" s="19">
        <v>1</v>
      </c>
      <c r="N145" s="21">
        <v>2</v>
      </c>
      <c r="O145" s="19">
        <v>1</v>
      </c>
      <c r="P145" s="19">
        <v>1</v>
      </c>
      <c r="Q145" s="21">
        <v>2</v>
      </c>
      <c r="R145" s="22"/>
      <c r="S145" s="22"/>
      <c r="T145" s="22"/>
    </row>
    <row r="146" spans="5:20" ht="26.25" x14ac:dyDescent="0.25">
      <c r="E146" s="14" t="s">
        <v>285</v>
      </c>
      <c r="F146" s="15" t="s">
        <v>286</v>
      </c>
      <c r="G146" s="28">
        <v>3.5</v>
      </c>
      <c r="H146" s="33">
        <v>1</v>
      </c>
      <c r="I146" s="21">
        <v>4.5</v>
      </c>
      <c r="J146" s="21">
        <v>4.5</v>
      </c>
      <c r="K146" s="21">
        <v>4.5</v>
      </c>
      <c r="L146" s="19">
        <v>1</v>
      </c>
      <c r="M146" s="19">
        <v>1</v>
      </c>
      <c r="N146" s="21">
        <v>4.5</v>
      </c>
      <c r="O146" s="19">
        <v>1</v>
      </c>
      <c r="P146" s="19">
        <v>1</v>
      </c>
      <c r="Q146" s="21">
        <v>4.5</v>
      </c>
      <c r="R146" s="22"/>
      <c r="S146" s="22"/>
      <c r="T146" s="22"/>
    </row>
    <row r="147" spans="5:20" ht="26.25" x14ac:dyDescent="0.25">
      <c r="E147" s="14" t="s">
        <v>287</v>
      </c>
      <c r="F147" s="15" t="s">
        <v>288</v>
      </c>
      <c r="G147" s="28">
        <v>4.7</v>
      </c>
      <c r="H147" s="33">
        <f t="shared" ref="H147:Q166" si="27">$G147*H$3</f>
        <v>2.35</v>
      </c>
      <c r="I147" s="21">
        <f t="shared" si="27"/>
        <v>4.7</v>
      </c>
      <c r="J147" s="21">
        <f t="shared" si="27"/>
        <v>4.7</v>
      </c>
      <c r="K147" s="21">
        <f t="shared" si="27"/>
        <v>4.7</v>
      </c>
      <c r="L147" s="19">
        <f t="shared" si="27"/>
        <v>4.7</v>
      </c>
      <c r="M147" s="19">
        <f t="shared" si="27"/>
        <v>4.7</v>
      </c>
      <c r="N147" s="21">
        <f t="shared" si="27"/>
        <v>4.7</v>
      </c>
      <c r="O147" s="19">
        <f t="shared" si="27"/>
        <v>4.7</v>
      </c>
      <c r="P147" s="19">
        <f t="shared" si="27"/>
        <v>4.7</v>
      </c>
      <c r="Q147" s="21">
        <f t="shared" si="27"/>
        <v>4.7</v>
      </c>
      <c r="R147" s="22"/>
      <c r="S147" s="22"/>
      <c r="T147" s="22"/>
    </row>
    <row r="148" spans="5:20" ht="26.25" x14ac:dyDescent="0.25">
      <c r="E148" s="14" t="s">
        <v>289</v>
      </c>
      <c r="F148" s="15" t="s">
        <v>290</v>
      </c>
      <c r="G148" s="28">
        <v>4.0999999999999996</v>
      </c>
      <c r="H148" s="33">
        <v>1</v>
      </c>
      <c r="I148" s="21">
        <f t="shared" si="27"/>
        <v>4.0999999999999996</v>
      </c>
      <c r="J148" s="21">
        <f t="shared" si="27"/>
        <v>4.0999999999999996</v>
      </c>
      <c r="K148" s="21">
        <f t="shared" si="27"/>
        <v>4.0999999999999996</v>
      </c>
      <c r="L148" s="19">
        <f t="shared" si="27"/>
        <v>4.0999999999999996</v>
      </c>
      <c r="M148" s="19">
        <f t="shared" si="27"/>
        <v>4.0999999999999996</v>
      </c>
      <c r="N148" s="21">
        <f t="shared" si="27"/>
        <v>4.0999999999999996</v>
      </c>
      <c r="O148" s="19">
        <f t="shared" si="27"/>
        <v>4.0999999999999996</v>
      </c>
      <c r="P148" s="19">
        <f t="shared" si="27"/>
        <v>4.0999999999999996</v>
      </c>
      <c r="Q148" s="21">
        <f t="shared" si="27"/>
        <v>4.0999999999999996</v>
      </c>
      <c r="R148" s="22"/>
      <c r="S148" s="22"/>
      <c r="T148" s="22"/>
    </row>
    <row r="149" spans="5:20" x14ac:dyDescent="0.25">
      <c r="E149" s="14" t="s">
        <v>291</v>
      </c>
      <c r="F149" s="15" t="s">
        <v>292</v>
      </c>
      <c r="G149" s="28">
        <v>3</v>
      </c>
      <c r="H149" s="33">
        <v>1</v>
      </c>
      <c r="I149" s="21">
        <f t="shared" si="27"/>
        <v>3</v>
      </c>
      <c r="J149" s="21">
        <f t="shared" si="27"/>
        <v>3</v>
      </c>
      <c r="K149" s="21">
        <f t="shared" si="27"/>
        <v>3</v>
      </c>
      <c r="L149" s="19">
        <f t="shared" si="27"/>
        <v>3</v>
      </c>
      <c r="M149" s="19">
        <f t="shared" si="27"/>
        <v>3</v>
      </c>
      <c r="N149" s="21">
        <f t="shared" si="27"/>
        <v>3</v>
      </c>
      <c r="O149" s="19">
        <f t="shared" si="27"/>
        <v>3</v>
      </c>
      <c r="P149" s="19">
        <f t="shared" si="27"/>
        <v>3</v>
      </c>
      <c r="Q149" s="21">
        <f t="shared" si="27"/>
        <v>3</v>
      </c>
      <c r="R149" s="22"/>
      <c r="S149" s="22"/>
      <c r="T149" s="22"/>
    </row>
    <row r="150" spans="5:20" ht="26.25" x14ac:dyDescent="0.25">
      <c r="E150" s="14" t="s">
        <v>293</v>
      </c>
      <c r="F150" s="15" t="s">
        <v>294</v>
      </c>
      <c r="G150" s="28">
        <v>5</v>
      </c>
      <c r="H150" s="33">
        <v>0.5</v>
      </c>
      <c r="I150" s="21">
        <f t="shared" si="27"/>
        <v>5</v>
      </c>
      <c r="J150" s="21">
        <f t="shared" si="27"/>
        <v>5</v>
      </c>
      <c r="K150" s="21">
        <f t="shared" si="27"/>
        <v>5</v>
      </c>
      <c r="L150" s="19">
        <f t="shared" si="27"/>
        <v>5</v>
      </c>
      <c r="M150" s="19">
        <f t="shared" si="27"/>
        <v>5</v>
      </c>
      <c r="N150" s="21">
        <f t="shared" si="27"/>
        <v>5</v>
      </c>
      <c r="O150" s="19">
        <f t="shared" si="27"/>
        <v>5</v>
      </c>
      <c r="P150" s="19">
        <f t="shared" si="27"/>
        <v>5</v>
      </c>
      <c r="Q150" s="21">
        <f t="shared" si="27"/>
        <v>5</v>
      </c>
      <c r="R150" s="22"/>
      <c r="S150" s="22"/>
      <c r="T150" s="22"/>
    </row>
    <row r="151" spans="5:20" ht="26.25" x14ac:dyDescent="0.25">
      <c r="E151" s="14" t="s">
        <v>295</v>
      </c>
      <c r="F151" s="15" t="s">
        <v>296</v>
      </c>
      <c r="G151" s="28">
        <v>4</v>
      </c>
      <c r="H151" s="33">
        <f t="shared" si="27"/>
        <v>2</v>
      </c>
      <c r="I151" s="21">
        <f t="shared" si="27"/>
        <v>4</v>
      </c>
      <c r="J151" s="21">
        <f t="shared" si="27"/>
        <v>4</v>
      </c>
      <c r="K151" s="21">
        <f t="shared" si="27"/>
        <v>4</v>
      </c>
      <c r="L151" s="19">
        <f t="shared" si="27"/>
        <v>4</v>
      </c>
      <c r="M151" s="19">
        <f t="shared" si="27"/>
        <v>4</v>
      </c>
      <c r="N151" s="21">
        <f t="shared" si="27"/>
        <v>4</v>
      </c>
      <c r="O151" s="19">
        <f t="shared" si="27"/>
        <v>4</v>
      </c>
      <c r="P151" s="19">
        <f t="shared" si="27"/>
        <v>4</v>
      </c>
      <c r="Q151" s="21">
        <f t="shared" si="27"/>
        <v>4</v>
      </c>
      <c r="R151" s="22"/>
      <c r="S151" s="22"/>
      <c r="T151" s="22"/>
    </row>
    <row r="152" spans="5:20" ht="26.25" x14ac:dyDescent="0.25">
      <c r="E152" s="14" t="s">
        <v>297</v>
      </c>
      <c r="F152" s="15" t="s">
        <v>298</v>
      </c>
      <c r="G152" s="28">
        <v>0.25</v>
      </c>
      <c r="H152" s="33">
        <v>0.5</v>
      </c>
      <c r="I152" s="21">
        <f t="shared" si="27"/>
        <v>0.25</v>
      </c>
      <c r="J152" s="21">
        <f t="shared" si="27"/>
        <v>0.25</v>
      </c>
      <c r="K152" s="21">
        <f t="shared" si="27"/>
        <v>0.25</v>
      </c>
      <c r="L152" s="19">
        <f t="shared" si="27"/>
        <v>0.25</v>
      </c>
      <c r="M152" s="19">
        <f t="shared" si="27"/>
        <v>0.25</v>
      </c>
      <c r="N152" s="21">
        <f t="shared" si="27"/>
        <v>0.25</v>
      </c>
      <c r="O152" s="19">
        <f t="shared" si="27"/>
        <v>0.25</v>
      </c>
      <c r="P152" s="19">
        <f t="shared" si="27"/>
        <v>0.25</v>
      </c>
      <c r="Q152" s="21">
        <f t="shared" si="27"/>
        <v>0.25</v>
      </c>
      <c r="R152" s="22"/>
      <c r="S152" s="22"/>
      <c r="T152" s="22"/>
    </row>
    <row r="153" spans="5:20" x14ac:dyDescent="0.25">
      <c r="E153" s="14" t="s">
        <v>299</v>
      </c>
      <c r="F153" s="15" t="s">
        <v>300</v>
      </c>
      <c r="G153" s="28">
        <v>1</v>
      </c>
      <c r="H153" s="33">
        <v>0.5</v>
      </c>
      <c r="I153" s="21">
        <f t="shared" si="27"/>
        <v>1</v>
      </c>
      <c r="J153" s="21">
        <f t="shared" si="27"/>
        <v>1</v>
      </c>
      <c r="K153" s="21">
        <f t="shared" si="27"/>
        <v>1</v>
      </c>
      <c r="L153" s="19">
        <f t="shared" si="27"/>
        <v>1</v>
      </c>
      <c r="M153" s="19">
        <f t="shared" si="27"/>
        <v>1</v>
      </c>
      <c r="N153" s="21">
        <f t="shared" si="27"/>
        <v>1</v>
      </c>
      <c r="O153" s="19">
        <f t="shared" si="27"/>
        <v>1</v>
      </c>
      <c r="P153" s="19">
        <f t="shared" si="27"/>
        <v>1</v>
      </c>
      <c r="Q153" s="21">
        <f t="shared" si="27"/>
        <v>1</v>
      </c>
      <c r="R153" s="22"/>
      <c r="S153" s="22"/>
      <c r="T153" s="22"/>
    </row>
    <row r="154" spans="5:20" x14ac:dyDescent="0.25">
      <c r="E154" s="14" t="s">
        <v>301</v>
      </c>
      <c r="F154" s="15" t="s">
        <v>302</v>
      </c>
      <c r="G154" s="28">
        <v>3</v>
      </c>
      <c r="H154" s="33">
        <v>1</v>
      </c>
      <c r="I154" s="21">
        <f t="shared" si="27"/>
        <v>3</v>
      </c>
      <c r="J154" s="21">
        <f t="shared" si="27"/>
        <v>3</v>
      </c>
      <c r="K154" s="21">
        <f t="shared" si="27"/>
        <v>3</v>
      </c>
      <c r="L154" s="20">
        <f t="shared" si="27"/>
        <v>3</v>
      </c>
      <c r="M154" s="20">
        <f t="shared" si="27"/>
        <v>3</v>
      </c>
      <c r="N154" s="21">
        <f t="shared" si="27"/>
        <v>3</v>
      </c>
      <c r="O154" s="20">
        <f t="shared" si="27"/>
        <v>3</v>
      </c>
      <c r="P154" s="20">
        <f t="shared" si="27"/>
        <v>3</v>
      </c>
      <c r="Q154" s="21">
        <f t="shared" si="27"/>
        <v>3</v>
      </c>
      <c r="R154" s="22"/>
      <c r="S154" s="22"/>
      <c r="T154" s="22"/>
    </row>
    <row r="155" spans="5:20" x14ac:dyDescent="0.25">
      <c r="E155" s="14" t="s">
        <v>303</v>
      </c>
      <c r="F155" s="15" t="s">
        <v>304</v>
      </c>
      <c r="G155" s="28">
        <v>1</v>
      </c>
      <c r="H155" s="33">
        <v>0.5</v>
      </c>
      <c r="I155" s="21">
        <f t="shared" si="27"/>
        <v>1</v>
      </c>
      <c r="J155" s="21">
        <f t="shared" si="27"/>
        <v>1</v>
      </c>
      <c r="K155" s="21">
        <f t="shared" si="27"/>
        <v>1</v>
      </c>
      <c r="L155" s="20">
        <f t="shared" si="27"/>
        <v>1</v>
      </c>
      <c r="M155" s="20">
        <f t="shared" si="27"/>
        <v>1</v>
      </c>
      <c r="N155" s="21">
        <f t="shared" si="27"/>
        <v>1</v>
      </c>
      <c r="O155" s="20">
        <f t="shared" si="27"/>
        <v>1</v>
      </c>
      <c r="P155" s="20">
        <f t="shared" si="27"/>
        <v>1</v>
      </c>
      <c r="Q155" s="21">
        <f t="shared" si="27"/>
        <v>1</v>
      </c>
      <c r="R155" s="22"/>
      <c r="S155" s="22"/>
      <c r="T155" s="22"/>
    </row>
    <row r="156" spans="5:20" x14ac:dyDescent="0.25">
      <c r="E156" s="14" t="s">
        <v>305</v>
      </c>
      <c r="F156" s="15" t="s">
        <v>306</v>
      </c>
      <c r="G156" s="28">
        <v>1</v>
      </c>
      <c r="H156" s="33">
        <v>0.5</v>
      </c>
      <c r="I156" s="21">
        <f t="shared" si="27"/>
        <v>1</v>
      </c>
      <c r="J156" s="21">
        <f t="shared" si="27"/>
        <v>1</v>
      </c>
      <c r="K156" s="21">
        <f t="shared" si="27"/>
        <v>1</v>
      </c>
      <c r="L156" s="20">
        <f t="shared" si="27"/>
        <v>1</v>
      </c>
      <c r="M156" s="20">
        <f t="shared" si="27"/>
        <v>1</v>
      </c>
      <c r="N156" s="21">
        <f t="shared" si="27"/>
        <v>1</v>
      </c>
      <c r="O156" s="20">
        <f t="shared" si="27"/>
        <v>1</v>
      </c>
      <c r="P156" s="20">
        <f t="shared" si="27"/>
        <v>1</v>
      </c>
      <c r="Q156" s="21">
        <f t="shared" si="27"/>
        <v>1</v>
      </c>
      <c r="R156" s="22"/>
      <c r="S156" s="22"/>
      <c r="T156" s="22"/>
    </row>
    <row r="157" spans="5:20" x14ac:dyDescent="0.25">
      <c r="E157" s="14" t="s">
        <v>307</v>
      </c>
      <c r="F157" s="15" t="s">
        <v>308</v>
      </c>
      <c r="G157" s="28">
        <v>2.5</v>
      </c>
      <c r="H157" s="33">
        <v>1</v>
      </c>
      <c r="I157" s="21">
        <f t="shared" si="27"/>
        <v>2.5</v>
      </c>
      <c r="J157" s="21">
        <f t="shared" si="27"/>
        <v>2.5</v>
      </c>
      <c r="K157" s="21">
        <f t="shared" si="27"/>
        <v>2.5</v>
      </c>
      <c r="L157" s="20">
        <f t="shared" si="27"/>
        <v>2.5</v>
      </c>
      <c r="M157" s="20">
        <f t="shared" si="27"/>
        <v>2.5</v>
      </c>
      <c r="N157" s="21">
        <f t="shared" si="27"/>
        <v>2.5</v>
      </c>
      <c r="O157" s="20">
        <f t="shared" si="27"/>
        <v>2.5</v>
      </c>
      <c r="P157" s="20">
        <f t="shared" si="27"/>
        <v>2.5</v>
      </c>
      <c r="Q157" s="21">
        <f t="shared" si="27"/>
        <v>2.5</v>
      </c>
      <c r="R157" s="22"/>
      <c r="S157" s="22"/>
      <c r="T157" s="22"/>
    </row>
    <row r="158" spans="5:20" ht="26.25" x14ac:dyDescent="0.25">
      <c r="E158" s="14" t="s">
        <v>309</v>
      </c>
      <c r="F158" s="15" t="s">
        <v>310</v>
      </c>
      <c r="G158" s="28">
        <v>3</v>
      </c>
      <c r="H158" s="33">
        <v>1</v>
      </c>
      <c r="I158" s="21">
        <f t="shared" si="27"/>
        <v>3</v>
      </c>
      <c r="J158" s="21">
        <f t="shared" si="27"/>
        <v>3</v>
      </c>
      <c r="K158" s="21">
        <f t="shared" si="27"/>
        <v>3</v>
      </c>
      <c r="L158" s="20">
        <f t="shared" si="27"/>
        <v>3</v>
      </c>
      <c r="M158" s="20">
        <f t="shared" si="27"/>
        <v>3</v>
      </c>
      <c r="N158" s="21">
        <f t="shared" si="27"/>
        <v>3</v>
      </c>
      <c r="O158" s="20">
        <f t="shared" si="27"/>
        <v>3</v>
      </c>
      <c r="P158" s="20">
        <f t="shared" si="27"/>
        <v>3</v>
      </c>
      <c r="Q158" s="21">
        <f t="shared" si="27"/>
        <v>3</v>
      </c>
      <c r="R158" s="22"/>
      <c r="S158" s="22"/>
      <c r="T158" s="22"/>
    </row>
    <row r="159" spans="5:20" x14ac:dyDescent="0.25">
      <c r="E159" s="14" t="s">
        <v>311</v>
      </c>
      <c r="F159" s="15" t="s">
        <v>312</v>
      </c>
      <c r="G159" s="28">
        <v>1</v>
      </c>
      <c r="H159" s="33">
        <v>0.5</v>
      </c>
      <c r="I159" s="21">
        <f t="shared" si="27"/>
        <v>1</v>
      </c>
      <c r="J159" s="21">
        <f t="shared" si="27"/>
        <v>1</v>
      </c>
      <c r="K159" s="21">
        <f t="shared" si="27"/>
        <v>1</v>
      </c>
      <c r="L159" s="20">
        <f t="shared" si="27"/>
        <v>1</v>
      </c>
      <c r="M159" s="20">
        <f t="shared" si="27"/>
        <v>1</v>
      </c>
      <c r="N159" s="21">
        <f t="shared" si="27"/>
        <v>1</v>
      </c>
      <c r="O159" s="20">
        <f t="shared" si="27"/>
        <v>1</v>
      </c>
      <c r="P159" s="20">
        <f t="shared" si="27"/>
        <v>1</v>
      </c>
      <c r="Q159" s="21">
        <f t="shared" si="27"/>
        <v>1</v>
      </c>
      <c r="R159" s="22"/>
      <c r="S159" s="22"/>
      <c r="T159" s="22"/>
    </row>
    <row r="160" spans="5:20" x14ac:dyDescent="0.25">
      <c r="E160" s="14" t="s">
        <v>313</v>
      </c>
      <c r="F160" s="15" t="s">
        <v>314</v>
      </c>
      <c r="G160" s="28">
        <v>6</v>
      </c>
      <c r="H160" s="33">
        <f t="shared" si="27"/>
        <v>3</v>
      </c>
      <c r="I160" s="21">
        <f t="shared" si="27"/>
        <v>6</v>
      </c>
      <c r="J160" s="21">
        <f t="shared" si="27"/>
        <v>6</v>
      </c>
      <c r="K160" s="21">
        <f t="shared" si="27"/>
        <v>6</v>
      </c>
      <c r="L160" s="20">
        <f t="shared" si="27"/>
        <v>6</v>
      </c>
      <c r="M160" s="20">
        <f t="shared" si="27"/>
        <v>6</v>
      </c>
      <c r="N160" s="21">
        <f t="shared" si="27"/>
        <v>6</v>
      </c>
      <c r="O160" s="20">
        <f t="shared" si="27"/>
        <v>6</v>
      </c>
      <c r="P160" s="20">
        <f t="shared" si="27"/>
        <v>6</v>
      </c>
      <c r="Q160" s="21">
        <f t="shared" si="27"/>
        <v>6</v>
      </c>
      <c r="R160" s="22"/>
      <c r="S160" s="22"/>
      <c r="T160" s="22"/>
    </row>
    <row r="161" spans="5:20" ht="15" customHeight="1" x14ac:dyDescent="0.25">
      <c r="E161" s="24">
        <v>115001401</v>
      </c>
      <c r="F161" s="32" t="s">
        <v>315</v>
      </c>
      <c r="G161" s="28">
        <v>1</v>
      </c>
      <c r="H161" s="33">
        <v>0.5</v>
      </c>
      <c r="I161" s="21">
        <f t="shared" si="27"/>
        <v>1</v>
      </c>
      <c r="J161" s="21">
        <f t="shared" si="27"/>
        <v>1</v>
      </c>
      <c r="K161" s="21">
        <f t="shared" si="27"/>
        <v>1</v>
      </c>
      <c r="L161" s="20">
        <f t="shared" si="27"/>
        <v>1</v>
      </c>
      <c r="M161" s="20">
        <f t="shared" si="27"/>
        <v>1</v>
      </c>
      <c r="N161" s="21">
        <f t="shared" si="27"/>
        <v>1</v>
      </c>
      <c r="O161" s="20">
        <f t="shared" si="27"/>
        <v>1</v>
      </c>
      <c r="P161" s="20">
        <f t="shared" si="27"/>
        <v>1</v>
      </c>
      <c r="Q161" s="21">
        <f t="shared" si="27"/>
        <v>1</v>
      </c>
      <c r="R161" s="22"/>
      <c r="S161" s="22"/>
      <c r="T161" s="22"/>
    </row>
    <row r="162" spans="5:20" ht="26.25" x14ac:dyDescent="0.25">
      <c r="E162" s="14" t="s">
        <v>316</v>
      </c>
      <c r="F162" s="15" t="s">
        <v>317</v>
      </c>
      <c r="G162" s="28">
        <v>7.5</v>
      </c>
      <c r="H162" s="33">
        <v>2</v>
      </c>
      <c r="I162" s="21">
        <f>$G162*I$3</f>
        <v>7.5</v>
      </c>
      <c r="J162" s="21">
        <f t="shared" si="27"/>
        <v>7.5</v>
      </c>
      <c r="K162" s="21">
        <f t="shared" si="27"/>
        <v>7.5</v>
      </c>
      <c r="L162" s="20">
        <f t="shared" si="27"/>
        <v>7.5</v>
      </c>
      <c r="M162" s="20">
        <f t="shared" si="27"/>
        <v>7.5</v>
      </c>
      <c r="N162" s="21">
        <f t="shared" si="27"/>
        <v>7.5</v>
      </c>
      <c r="O162" s="20">
        <f t="shared" si="27"/>
        <v>7.5</v>
      </c>
      <c r="P162" s="20">
        <f t="shared" si="27"/>
        <v>7.5</v>
      </c>
      <c r="Q162" s="21">
        <f t="shared" si="27"/>
        <v>7.5</v>
      </c>
      <c r="R162" s="22"/>
      <c r="S162" s="22"/>
      <c r="T162" s="22"/>
    </row>
    <row r="163" spans="5:20" ht="26.25" x14ac:dyDescent="0.25">
      <c r="E163" s="14" t="s">
        <v>318</v>
      </c>
      <c r="F163" s="15" t="s">
        <v>319</v>
      </c>
      <c r="G163" s="28">
        <v>12.5</v>
      </c>
      <c r="H163" s="33">
        <f>3+1.5</f>
        <v>4.5</v>
      </c>
      <c r="I163" s="21">
        <f>$G163*I$3</f>
        <v>12.5</v>
      </c>
      <c r="J163" s="21">
        <f t="shared" si="27"/>
        <v>12.5</v>
      </c>
      <c r="K163" s="21">
        <f t="shared" si="27"/>
        <v>12.5</v>
      </c>
      <c r="L163" s="21">
        <f t="shared" si="27"/>
        <v>12.5</v>
      </c>
      <c r="M163" s="21">
        <f t="shared" si="27"/>
        <v>12.5</v>
      </c>
      <c r="N163" s="21">
        <f t="shared" si="27"/>
        <v>12.5</v>
      </c>
      <c r="O163" s="21">
        <f t="shared" si="27"/>
        <v>12.5</v>
      </c>
      <c r="P163" s="21">
        <f t="shared" si="27"/>
        <v>12.5</v>
      </c>
      <c r="Q163" s="21">
        <f t="shared" si="27"/>
        <v>12.5</v>
      </c>
      <c r="R163" s="22"/>
      <c r="S163" s="22"/>
      <c r="T163" s="22"/>
    </row>
    <row r="164" spans="5:20" ht="26.25" x14ac:dyDescent="0.25">
      <c r="E164" s="24">
        <v>115003</v>
      </c>
      <c r="F164" s="32" t="s">
        <v>320</v>
      </c>
      <c r="G164" s="28">
        <v>1</v>
      </c>
      <c r="H164" s="33">
        <f>ROUND(G164*$H$3,1)+0.2</f>
        <v>0.7</v>
      </c>
      <c r="I164" s="21">
        <f t="shared" si="27"/>
        <v>1</v>
      </c>
      <c r="J164" s="21">
        <f t="shared" si="27"/>
        <v>1</v>
      </c>
      <c r="K164" s="21">
        <f t="shared" si="27"/>
        <v>1</v>
      </c>
      <c r="L164" s="19">
        <f t="shared" si="27"/>
        <v>1</v>
      </c>
      <c r="M164" s="19">
        <f t="shared" si="27"/>
        <v>1</v>
      </c>
      <c r="N164" s="21">
        <f t="shared" si="27"/>
        <v>1</v>
      </c>
      <c r="O164" s="19">
        <f t="shared" si="27"/>
        <v>1</v>
      </c>
      <c r="P164" s="19">
        <f t="shared" si="27"/>
        <v>1</v>
      </c>
      <c r="Q164" s="21">
        <f t="shared" si="27"/>
        <v>1</v>
      </c>
      <c r="R164" s="22"/>
      <c r="S164" s="22"/>
      <c r="T164" s="22"/>
    </row>
    <row r="165" spans="5:20" x14ac:dyDescent="0.25">
      <c r="E165" s="38" t="s">
        <v>321</v>
      </c>
      <c r="F165" s="32" t="s">
        <v>322</v>
      </c>
      <c r="G165" s="28">
        <v>5</v>
      </c>
      <c r="H165" s="33">
        <f>ROUND(G165*$H$3,1)+0.2</f>
        <v>2.7</v>
      </c>
      <c r="I165" s="21">
        <f t="shared" si="27"/>
        <v>5</v>
      </c>
      <c r="J165" s="21">
        <f t="shared" si="27"/>
        <v>5</v>
      </c>
      <c r="K165" s="21">
        <f t="shared" si="27"/>
        <v>5</v>
      </c>
      <c r="L165" s="21">
        <f t="shared" si="27"/>
        <v>5</v>
      </c>
      <c r="M165" s="21">
        <f t="shared" si="27"/>
        <v>5</v>
      </c>
      <c r="N165" s="21">
        <f t="shared" si="27"/>
        <v>5</v>
      </c>
      <c r="O165" s="21">
        <f t="shared" si="27"/>
        <v>5</v>
      </c>
      <c r="P165" s="21">
        <f t="shared" si="27"/>
        <v>5</v>
      </c>
      <c r="Q165" s="21">
        <f t="shared" si="27"/>
        <v>5</v>
      </c>
      <c r="R165" s="22"/>
      <c r="S165" s="22"/>
      <c r="T165" s="22"/>
    </row>
    <row r="166" spans="5:20" x14ac:dyDescent="0.25">
      <c r="E166" s="34" t="s">
        <v>323</v>
      </c>
      <c r="F166" s="32" t="s">
        <v>324</v>
      </c>
      <c r="G166" s="28">
        <v>6</v>
      </c>
      <c r="H166" s="33">
        <f>ROUND(G166*$H$3,1)</f>
        <v>3</v>
      </c>
      <c r="I166" s="21">
        <f t="shared" si="27"/>
        <v>6</v>
      </c>
      <c r="J166" s="21">
        <f t="shared" si="27"/>
        <v>6</v>
      </c>
      <c r="K166" s="21">
        <f t="shared" si="27"/>
        <v>6</v>
      </c>
      <c r="L166" s="21">
        <f t="shared" si="27"/>
        <v>6</v>
      </c>
      <c r="M166" s="21">
        <f t="shared" si="27"/>
        <v>6</v>
      </c>
      <c r="N166" s="21">
        <f t="shared" si="27"/>
        <v>6</v>
      </c>
      <c r="O166" s="21">
        <f t="shared" si="27"/>
        <v>6</v>
      </c>
      <c r="P166" s="21">
        <f t="shared" si="27"/>
        <v>6</v>
      </c>
      <c r="Q166" s="21">
        <f t="shared" si="27"/>
        <v>6</v>
      </c>
      <c r="R166" s="22"/>
      <c r="S166" s="22"/>
      <c r="T166" s="22"/>
    </row>
    <row r="167" spans="5:20" ht="26.25" x14ac:dyDescent="0.25">
      <c r="E167" s="24">
        <v>115004</v>
      </c>
      <c r="F167" s="15" t="s">
        <v>325</v>
      </c>
      <c r="G167" s="28">
        <v>19</v>
      </c>
      <c r="H167" s="33">
        <f>ROUND(G167*$H$3,1)-0.3</f>
        <v>9.1999999999999993</v>
      </c>
      <c r="I167" s="21">
        <f t="shared" ref="I167:Q182" si="28">$G167*I$3</f>
        <v>19</v>
      </c>
      <c r="J167" s="21">
        <f t="shared" si="28"/>
        <v>19</v>
      </c>
      <c r="K167" s="21">
        <f t="shared" si="28"/>
        <v>19</v>
      </c>
      <c r="L167" s="20">
        <f t="shared" si="28"/>
        <v>19</v>
      </c>
      <c r="M167" s="20">
        <f t="shared" si="28"/>
        <v>19</v>
      </c>
      <c r="N167" s="21">
        <f t="shared" si="28"/>
        <v>19</v>
      </c>
      <c r="O167" s="20">
        <f t="shared" si="28"/>
        <v>19</v>
      </c>
      <c r="P167" s="20">
        <f t="shared" si="28"/>
        <v>19</v>
      </c>
      <c r="Q167" s="21">
        <f t="shared" si="28"/>
        <v>19</v>
      </c>
      <c r="R167" s="22"/>
      <c r="S167" s="22"/>
      <c r="T167" s="22"/>
    </row>
    <row r="168" spans="5:20" x14ac:dyDescent="0.25">
      <c r="E168" s="14" t="s">
        <v>326</v>
      </c>
      <c r="F168" s="15" t="s">
        <v>327</v>
      </c>
      <c r="G168" s="28">
        <v>4.25</v>
      </c>
      <c r="H168" s="33">
        <f>ROUND(G168*$H$3,0)</f>
        <v>2</v>
      </c>
      <c r="I168" s="21">
        <f t="shared" si="28"/>
        <v>4.25</v>
      </c>
      <c r="J168" s="21">
        <f t="shared" si="28"/>
        <v>4.25</v>
      </c>
      <c r="K168" s="21">
        <f t="shared" si="28"/>
        <v>4.25</v>
      </c>
      <c r="L168" s="20">
        <f t="shared" si="28"/>
        <v>4.25</v>
      </c>
      <c r="M168" s="20">
        <f t="shared" si="28"/>
        <v>4.25</v>
      </c>
      <c r="N168" s="21">
        <f t="shared" si="28"/>
        <v>4.25</v>
      </c>
      <c r="O168" s="20">
        <f t="shared" si="28"/>
        <v>4.25</v>
      </c>
      <c r="P168" s="20">
        <f t="shared" si="28"/>
        <v>4.25</v>
      </c>
      <c r="Q168" s="21">
        <f t="shared" si="28"/>
        <v>4.25</v>
      </c>
      <c r="R168" s="22"/>
      <c r="S168" s="22"/>
      <c r="T168" s="22"/>
    </row>
    <row r="169" spans="5:20" x14ac:dyDescent="0.25">
      <c r="E169" s="14" t="s">
        <v>328</v>
      </c>
      <c r="F169" s="15" t="s">
        <v>329</v>
      </c>
      <c r="G169" s="28">
        <v>1.5</v>
      </c>
      <c r="H169" s="33">
        <f>ROUND(G169*$H$3,1)+0.1</f>
        <v>0.9</v>
      </c>
      <c r="I169" s="21">
        <f t="shared" si="28"/>
        <v>1.5</v>
      </c>
      <c r="J169" s="21">
        <f t="shared" si="28"/>
        <v>1.5</v>
      </c>
      <c r="K169" s="21">
        <f t="shared" si="28"/>
        <v>1.5</v>
      </c>
      <c r="L169" s="20">
        <f t="shared" si="28"/>
        <v>1.5</v>
      </c>
      <c r="M169" s="20">
        <f t="shared" si="28"/>
        <v>1.5</v>
      </c>
      <c r="N169" s="21">
        <f t="shared" si="28"/>
        <v>1.5</v>
      </c>
      <c r="O169" s="20">
        <f t="shared" si="28"/>
        <v>1.5</v>
      </c>
      <c r="P169" s="20">
        <f t="shared" si="28"/>
        <v>1.5</v>
      </c>
      <c r="Q169" s="21">
        <f t="shared" si="28"/>
        <v>1.5</v>
      </c>
      <c r="R169" s="22"/>
      <c r="S169" s="22"/>
      <c r="T169" s="22"/>
    </row>
    <row r="170" spans="5:20" x14ac:dyDescent="0.25">
      <c r="E170" s="39">
        <v>1059</v>
      </c>
      <c r="F170" s="15" t="s">
        <v>330</v>
      </c>
      <c r="G170" s="28">
        <v>2</v>
      </c>
      <c r="H170" s="33">
        <f>ROUND(G170*H$3,1)</f>
        <v>1</v>
      </c>
      <c r="I170" s="21">
        <f t="shared" si="28"/>
        <v>2</v>
      </c>
      <c r="J170" s="21">
        <f t="shared" si="28"/>
        <v>2</v>
      </c>
      <c r="K170" s="21">
        <f t="shared" si="28"/>
        <v>2</v>
      </c>
      <c r="L170" s="20">
        <f t="shared" si="28"/>
        <v>2</v>
      </c>
      <c r="M170" s="20">
        <f t="shared" si="28"/>
        <v>2</v>
      </c>
      <c r="N170" s="21">
        <f t="shared" si="28"/>
        <v>2</v>
      </c>
      <c r="O170" s="20">
        <f t="shared" si="28"/>
        <v>2</v>
      </c>
      <c r="P170" s="20">
        <f t="shared" si="28"/>
        <v>2</v>
      </c>
      <c r="Q170" s="21">
        <f t="shared" si="28"/>
        <v>2</v>
      </c>
      <c r="R170" s="22"/>
      <c r="S170" s="22"/>
      <c r="T170" s="22"/>
    </row>
    <row r="171" spans="5:20" ht="26.25" x14ac:dyDescent="0.25">
      <c r="E171" s="39">
        <v>105901</v>
      </c>
      <c r="F171" s="15" t="s">
        <v>331</v>
      </c>
      <c r="G171" s="28">
        <v>32.299999999999997</v>
      </c>
      <c r="H171" s="33">
        <f t="shared" ref="H171" si="29">ROUND(G171*H$3,0)</f>
        <v>16</v>
      </c>
      <c r="I171" s="21">
        <f t="shared" si="28"/>
        <v>32.299999999999997</v>
      </c>
      <c r="J171" s="21">
        <f t="shared" si="28"/>
        <v>32.299999999999997</v>
      </c>
      <c r="K171" s="21">
        <f t="shared" si="28"/>
        <v>32.299999999999997</v>
      </c>
      <c r="L171" s="20">
        <f t="shared" si="28"/>
        <v>32.299999999999997</v>
      </c>
      <c r="M171" s="20">
        <f t="shared" si="28"/>
        <v>32.299999999999997</v>
      </c>
      <c r="N171" s="21">
        <f t="shared" si="28"/>
        <v>32.299999999999997</v>
      </c>
      <c r="O171" s="20">
        <f t="shared" si="28"/>
        <v>32.299999999999997</v>
      </c>
      <c r="P171" s="20">
        <f t="shared" si="28"/>
        <v>32.299999999999997</v>
      </c>
      <c r="Q171" s="21">
        <f t="shared" si="28"/>
        <v>32.299999999999997</v>
      </c>
      <c r="R171" s="22"/>
      <c r="S171" s="22"/>
      <c r="T171" s="22"/>
    </row>
    <row r="172" spans="5:20" ht="26.25" x14ac:dyDescent="0.25">
      <c r="E172" s="39">
        <v>105902</v>
      </c>
      <c r="F172" s="15" t="s">
        <v>332</v>
      </c>
      <c r="G172" s="28">
        <v>0.75</v>
      </c>
      <c r="H172" s="33">
        <f>ROUND(G172*H$3,1)+0.3</f>
        <v>0.7</v>
      </c>
      <c r="I172" s="21">
        <f t="shared" si="28"/>
        <v>0.75</v>
      </c>
      <c r="J172" s="21">
        <f t="shared" si="28"/>
        <v>0.75</v>
      </c>
      <c r="K172" s="21">
        <f t="shared" si="28"/>
        <v>0.75</v>
      </c>
      <c r="L172" s="19">
        <f t="shared" si="28"/>
        <v>0.75</v>
      </c>
      <c r="M172" s="19">
        <f t="shared" si="28"/>
        <v>0.75</v>
      </c>
      <c r="N172" s="21">
        <f t="shared" si="28"/>
        <v>0.75</v>
      </c>
      <c r="O172" s="19">
        <f t="shared" si="28"/>
        <v>0.75</v>
      </c>
      <c r="P172" s="19">
        <f t="shared" si="28"/>
        <v>0.75</v>
      </c>
      <c r="Q172" s="21">
        <f t="shared" si="28"/>
        <v>0.75</v>
      </c>
      <c r="R172" s="22"/>
      <c r="S172" s="22"/>
      <c r="T172" s="22"/>
    </row>
    <row r="173" spans="5:20" ht="39" x14ac:dyDescent="0.25">
      <c r="E173" s="24">
        <v>105909</v>
      </c>
      <c r="F173" s="15" t="s">
        <v>333</v>
      </c>
      <c r="G173" s="28">
        <v>1</v>
      </c>
      <c r="H173" s="33">
        <f>ROUND(G173*H$3,1)+0.2</f>
        <v>0.7</v>
      </c>
      <c r="I173" s="21">
        <f t="shared" si="28"/>
        <v>1</v>
      </c>
      <c r="J173" s="21">
        <f t="shared" si="28"/>
        <v>1</v>
      </c>
      <c r="K173" s="21">
        <f t="shared" si="28"/>
        <v>1</v>
      </c>
      <c r="L173" s="20">
        <f t="shared" si="28"/>
        <v>1</v>
      </c>
      <c r="M173" s="20">
        <f t="shared" si="28"/>
        <v>1</v>
      </c>
      <c r="N173" s="21">
        <f t="shared" si="28"/>
        <v>1</v>
      </c>
      <c r="O173" s="20">
        <f t="shared" si="28"/>
        <v>1</v>
      </c>
      <c r="P173" s="20">
        <f t="shared" si="28"/>
        <v>1</v>
      </c>
      <c r="Q173" s="21">
        <f t="shared" si="28"/>
        <v>1</v>
      </c>
      <c r="R173" s="22"/>
      <c r="S173" s="22"/>
      <c r="T173" s="22"/>
    </row>
    <row r="174" spans="5:20" x14ac:dyDescent="0.25">
      <c r="E174" s="24">
        <v>105910</v>
      </c>
      <c r="F174" s="15" t="s">
        <v>334</v>
      </c>
      <c r="G174" s="28">
        <v>6</v>
      </c>
      <c r="H174" s="33">
        <f>ROUND(G174*H$3,1)</f>
        <v>3</v>
      </c>
      <c r="I174" s="21">
        <f t="shared" si="28"/>
        <v>6</v>
      </c>
      <c r="J174" s="21">
        <f t="shared" si="28"/>
        <v>6</v>
      </c>
      <c r="K174" s="21">
        <f t="shared" si="28"/>
        <v>6</v>
      </c>
      <c r="L174" s="20">
        <f t="shared" si="28"/>
        <v>6</v>
      </c>
      <c r="M174" s="20">
        <f t="shared" si="28"/>
        <v>6</v>
      </c>
      <c r="N174" s="21">
        <f t="shared" si="28"/>
        <v>6</v>
      </c>
      <c r="O174" s="20">
        <f t="shared" si="28"/>
        <v>6</v>
      </c>
      <c r="P174" s="20">
        <f t="shared" si="28"/>
        <v>6</v>
      </c>
      <c r="Q174" s="21">
        <f t="shared" si="28"/>
        <v>6</v>
      </c>
      <c r="R174" s="22"/>
      <c r="S174" s="22"/>
      <c r="T174" s="22"/>
    </row>
    <row r="175" spans="5:20" ht="26.25" x14ac:dyDescent="0.25">
      <c r="E175" s="14" t="s">
        <v>335</v>
      </c>
      <c r="F175" s="15" t="s">
        <v>336</v>
      </c>
      <c r="G175" s="28">
        <v>3.5</v>
      </c>
      <c r="H175" s="33">
        <f>ROUND(G175*$H$3,0)</f>
        <v>2</v>
      </c>
      <c r="I175" s="21">
        <f t="shared" si="28"/>
        <v>3.5</v>
      </c>
      <c r="J175" s="21">
        <f t="shared" si="28"/>
        <v>3.5</v>
      </c>
      <c r="K175" s="21">
        <f t="shared" si="28"/>
        <v>3.5</v>
      </c>
      <c r="L175" s="20">
        <f t="shared" si="28"/>
        <v>3.5</v>
      </c>
      <c r="M175" s="20">
        <f t="shared" si="28"/>
        <v>3.5</v>
      </c>
      <c r="N175" s="21">
        <f t="shared" si="28"/>
        <v>3.5</v>
      </c>
      <c r="O175" s="20">
        <f t="shared" si="28"/>
        <v>3.5</v>
      </c>
      <c r="P175" s="20">
        <f t="shared" si="28"/>
        <v>3.5</v>
      </c>
      <c r="Q175" s="21">
        <f t="shared" si="28"/>
        <v>3.5</v>
      </c>
      <c r="R175" s="22"/>
      <c r="S175" s="22"/>
      <c r="T175" s="22"/>
    </row>
    <row r="176" spans="5:20" x14ac:dyDescent="0.25">
      <c r="E176" s="14" t="s">
        <v>337</v>
      </c>
      <c r="F176" s="15" t="s">
        <v>338</v>
      </c>
      <c r="G176" s="28">
        <v>9.5</v>
      </c>
      <c r="H176" s="33">
        <f>ROUND(G176*$H$3,1)+0.1</f>
        <v>4.8999999999999995</v>
      </c>
      <c r="I176" s="21">
        <f t="shared" si="28"/>
        <v>9.5</v>
      </c>
      <c r="J176" s="21">
        <f t="shared" si="28"/>
        <v>9.5</v>
      </c>
      <c r="K176" s="21">
        <f t="shared" si="28"/>
        <v>9.5</v>
      </c>
      <c r="L176" s="20">
        <f t="shared" si="28"/>
        <v>9.5</v>
      </c>
      <c r="M176" s="20">
        <f t="shared" si="28"/>
        <v>9.5</v>
      </c>
      <c r="N176" s="21">
        <f t="shared" si="28"/>
        <v>9.5</v>
      </c>
      <c r="O176" s="20">
        <f t="shared" si="28"/>
        <v>9.5</v>
      </c>
      <c r="P176" s="20">
        <f t="shared" si="28"/>
        <v>9.5</v>
      </c>
      <c r="Q176" s="21">
        <f t="shared" si="28"/>
        <v>9.5</v>
      </c>
      <c r="R176" s="22"/>
      <c r="S176" s="22"/>
      <c r="T176" s="22"/>
    </row>
    <row r="177" spans="5:20" x14ac:dyDescent="0.25">
      <c r="E177" s="14" t="s">
        <v>339</v>
      </c>
      <c r="F177" s="15" t="s">
        <v>340</v>
      </c>
      <c r="G177" s="28">
        <v>3</v>
      </c>
      <c r="H177" s="33">
        <f t="shared" ref="H177:H178" si="30">ROUND(G177*$H$3,0)</f>
        <v>2</v>
      </c>
      <c r="I177" s="21">
        <f t="shared" si="28"/>
        <v>3</v>
      </c>
      <c r="J177" s="21">
        <f t="shared" si="28"/>
        <v>3</v>
      </c>
      <c r="K177" s="21">
        <f t="shared" si="28"/>
        <v>3</v>
      </c>
      <c r="L177" s="20">
        <f t="shared" si="28"/>
        <v>3</v>
      </c>
      <c r="M177" s="20">
        <f t="shared" si="28"/>
        <v>3</v>
      </c>
      <c r="N177" s="21">
        <f t="shared" si="28"/>
        <v>3</v>
      </c>
      <c r="O177" s="20">
        <f t="shared" si="28"/>
        <v>3</v>
      </c>
      <c r="P177" s="20">
        <f t="shared" si="28"/>
        <v>3</v>
      </c>
      <c r="Q177" s="21">
        <f t="shared" si="28"/>
        <v>3</v>
      </c>
      <c r="R177" s="22"/>
      <c r="S177" s="22"/>
      <c r="T177" s="22"/>
    </row>
    <row r="178" spans="5:20" x14ac:dyDescent="0.25">
      <c r="E178" s="14" t="s">
        <v>341</v>
      </c>
      <c r="F178" s="15" t="s">
        <v>342</v>
      </c>
      <c r="G178" s="28">
        <v>3.25</v>
      </c>
      <c r="H178" s="33">
        <f t="shared" si="30"/>
        <v>2</v>
      </c>
      <c r="I178" s="21">
        <f t="shared" si="28"/>
        <v>3.25</v>
      </c>
      <c r="J178" s="21">
        <f t="shared" si="28"/>
        <v>3.25</v>
      </c>
      <c r="K178" s="21">
        <f t="shared" si="28"/>
        <v>3.25</v>
      </c>
      <c r="L178" s="20">
        <f t="shared" si="28"/>
        <v>3.25</v>
      </c>
      <c r="M178" s="20">
        <f t="shared" si="28"/>
        <v>3.25</v>
      </c>
      <c r="N178" s="21">
        <f t="shared" si="28"/>
        <v>3.25</v>
      </c>
      <c r="O178" s="20">
        <f t="shared" si="28"/>
        <v>3.25</v>
      </c>
      <c r="P178" s="20">
        <f t="shared" si="28"/>
        <v>3.25</v>
      </c>
      <c r="Q178" s="21">
        <f t="shared" si="28"/>
        <v>3.25</v>
      </c>
      <c r="R178" s="22"/>
      <c r="S178" s="22"/>
      <c r="T178" s="22"/>
    </row>
    <row r="179" spans="5:20" ht="31.5" customHeight="1" x14ac:dyDescent="0.25">
      <c r="E179" s="24">
        <v>116</v>
      </c>
      <c r="F179" s="32" t="s">
        <v>343</v>
      </c>
      <c r="G179" s="28">
        <v>1</v>
      </c>
      <c r="H179" s="33">
        <f>ROUND(G179*$H$3,1)+0.2</f>
        <v>0.7</v>
      </c>
      <c r="I179" s="21">
        <f t="shared" si="28"/>
        <v>1</v>
      </c>
      <c r="J179" s="21">
        <f t="shared" si="28"/>
        <v>1</v>
      </c>
      <c r="K179" s="21">
        <f t="shared" si="28"/>
        <v>1</v>
      </c>
      <c r="L179" s="20">
        <f t="shared" si="28"/>
        <v>1</v>
      </c>
      <c r="M179" s="20">
        <f t="shared" si="28"/>
        <v>1</v>
      </c>
      <c r="N179" s="21">
        <f t="shared" si="28"/>
        <v>1</v>
      </c>
      <c r="O179" s="20">
        <f t="shared" si="28"/>
        <v>1</v>
      </c>
      <c r="P179" s="20">
        <f t="shared" si="28"/>
        <v>1</v>
      </c>
      <c r="Q179" s="21">
        <f t="shared" si="28"/>
        <v>1</v>
      </c>
      <c r="R179" s="22"/>
      <c r="S179" s="22"/>
      <c r="T179" s="22"/>
    </row>
    <row r="180" spans="5:20" x14ac:dyDescent="0.25">
      <c r="E180" s="24">
        <v>11630</v>
      </c>
      <c r="F180" s="15" t="s">
        <v>344</v>
      </c>
      <c r="G180" s="28">
        <v>1</v>
      </c>
      <c r="H180" s="33">
        <f>ROUND(G180*$H$3,1)+0.2</f>
        <v>0.7</v>
      </c>
      <c r="I180" s="21">
        <f t="shared" si="28"/>
        <v>1</v>
      </c>
      <c r="J180" s="21">
        <f t="shared" si="28"/>
        <v>1</v>
      </c>
      <c r="K180" s="21">
        <f t="shared" si="28"/>
        <v>1</v>
      </c>
      <c r="L180" s="20">
        <f t="shared" si="28"/>
        <v>1</v>
      </c>
      <c r="M180" s="20">
        <f t="shared" si="28"/>
        <v>1</v>
      </c>
      <c r="N180" s="21">
        <f t="shared" si="28"/>
        <v>1</v>
      </c>
      <c r="O180" s="20">
        <f t="shared" si="28"/>
        <v>1</v>
      </c>
      <c r="P180" s="20">
        <f t="shared" si="28"/>
        <v>1</v>
      </c>
      <c r="Q180" s="21">
        <f t="shared" si="28"/>
        <v>1</v>
      </c>
      <c r="R180" s="22"/>
      <c r="S180" s="22"/>
      <c r="T180" s="22"/>
    </row>
    <row r="181" spans="5:20" x14ac:dyDescent="0.25">
      <c r="E181" s="24">
        <v>11630001</v>
      </c>
      <c r="F181" s="15" t="s">
        <v>345</v>
      </c>
      <c r="G181" s="28">
        <v>8</v>
      </c>
      <c r="H181" s="33">
        <f t="shared" ref="H181:H187" si="31">ROUND(G181*$H$3,1)</f>
        <v>4</v>
      </c>
      <c r="I181" s="21">
        <f t="shared" si="28"/>
        <v>8</v>
      </c>
      <c r="J181" s="21">
        <f t="shared" si="28"/>
        <v>8</v>
      </c>
      <c r="K181" s="21">
        <f t="shared" si="28"/>
        <v>8</v>
      </c>
      <c r="L181" s="20">
        <f t="shared" si="28"/>
        <v>8</v>
      </c>
      <c r="M181" s="20">
        <f t="shared" si="28"/>
        <v>8</v>
      </c>
      <c r="N181" s="21">
        <f t="shared" si="28"/>
        <v>8</v>
      </c>
      <c r="O181" s="20">
        <f t="shared" si="28"/>
        <v>8</v>
      </c>
      <c r="P181" s="20">
        <f t="shared" si="28"/>
        <v>8</v>
      </c>
      <c r="Q181" s="21">
        <f t="shared" si="28"/>
        <v>8</v>
      </c>
      <c r="R181" s="22"/>
      <c r="S181" s="22"/>
      <c r="T181" s="22"/>
    </row>
    <row r="182" spans="5:20" x14ac:dyDescent="0.25">
      <c r="E182" s="24">
        <v>11630002</v>
      </c>
      <c r="F182" s="15" t="s">
        <v>346</v>
      </c>
      <c r="G182" s="28">
        <v>4</v>
      </c>
      <c r="H182" s="33">
        <f>ROUND(G182*$H$3,0)</f>
        <v>2</v>
      </c>
      <c r="I182" s="21">
        <f t="shared" si="28"/>
        <v>4</v>
      </c>
      <c r="J182" s="21">
        <f t="shared" si="28"/>
        <v>4</v>
      </c>
      <c r="K182" s="21">
        <f t="shared" si="28"/>
        <v>4</v>
      </c>
      <c r="L182" s="20">
        <f t="shared" si="28"/>
        <v>4</v>
      </c>
      <c r="M182" s="20">
        <f t="shared" si="28"/>
        <v>4</v>
      </c>
      <c r="N182" s="21">
        <f t="shared" si="28"/>
        <v>4</v>
      </c>
      <c r="O182" s="20">
        <f t="shared" si="28"/>
        <v>4</v>
      </c>
      <c r="P182" s="20">
        <f t="shared" si="28"/>
        <v>4</v>
      </c>
      <c r="Q182" s="21">
        <f t="shared" si="28"/>
        <v>4</v>
      </c>
      <c r="R182" s="22"/>
      <c r="S182" s="22"/>
      <c r="T182" s="22"/>
    </row>
    <row r="183" spans="5:20" x14ac:dyDescent="0.25">
      <c r="E183" s="24">
        <v>11630003</v>
      </c>
      <c r="F183" s="15" t="s">
        <v>347</v>
      </c>
      <c r="G183" s="28">
        <v>1</v>
      </c>
      <c r="H183" s="33">
        <f>ROUND(G183*$H$3,1)+0.2</f>
        <v>0.7</v>
      </c>
      <c r="I183" s="21">
        <f>2*2+2*2</f>
        <v>8</v>
      </c>
      <c r="J183" s="21">
        <f t="shared" ref="J183:K187" si="32">$G183*J$6</f>
        <v>4</v>
      </c>
      <c r="K183" s="21">
        <v>4</v>
      </c>
      <c r="L183" s="20">
        <v>1</v>
      </c>
      <c r="M183" s="20">
        <v>4</v>
      </c>
      <c r="N183" s="21">
        <f t="shared" ref="N183:N187" si="33">$G183*N$6</f>
        <v>4</v>
      </c>
      <c r="O183" s="20">
        <f>1*2+4*2</f>
        <v>10</v>
      </c>
      <c r="P183" s="20">
        <v>1</v>
      </c>
      <c r="Q183" s="21">
        <v>6</v>
      </c>
      <c r="R183" s="22"/>
      <c r="S183" s="22"/>
      <c r="T183" s="22"/>
    </row>
    <row r="184" spans="5:20" x14ac:dyDescent="0.25">
      <c r="E184" s="24">
        <v>1163000324</v>
      </c>
      <c r="F184" s="32" t="s">
        <v>348</v>
      </c>
      <c r="G184" s="28">
        <v>4</v>
      </c>
      <c r="H184" s="33">
        <f t="shared" si="31"/>
        <v>2</v>
      </c>
      <c r="I184" s="21">
        <f t="shared" ref="I184:Q184" si="34">$G184*I$3</f>
        <v>4</v>
      </c>
      <c r="J184" s="21">
        <f t="shared" si="34"/>
        <v>4</v>
      </c>
      <c r="K184" s="21">
        <f t="shared" si="34"/>
        <v>4</v>
      </c>
      <c r="L184" s="20">
        <f t="shared" si="34"/>
        <v>4</v>
      </c>
      <c r="M184" s="20">
        <f t="shared" si="34"/>
        <v>4</v>
      </c>
      <c r="N184" s="21">
        <f t="shared" si="34"/>
        <v>4</v>
      </c>
      <c r="O184" s="20">
        <f t="shared" si="34"/>
        <v>4</v>
      </c>
      <c r="P184" s="20">
        <f t="shared" si="34"/>
        <v>4</v>
      </c>
      <c r="Q184" s="21">
        <f t="shared" si="34"/>
        <v>4</v>
      </c>
      <c r="R184" s="22"/>
      <c r="S184" s="22"/>
      <c r="T184" s="22"/>
    </row>
    <row r="185" spans="5:20" x14ac:dyDescent="0.25">
      <c r="E185" s="24">
        <v>1163000325</v>
      </c>
      <c r="F185" s="32" t="s">
        <v>349</v>
      </c>
      <c r="G185" s="28">
        <v>5</v>
      </c>
      <c r="H185" s="33">
        <f>ROUND(G185*$H$3,0)</f>
        <v>3</v>
      </c>
      <c r="I185" s="21">
        <f>$G185*I$6</f>
        <v>20</v>
      </c>
      <c r="J185" s="21">
        <v>24</v>
      </c>
      <c r="K185" s="21">
        <f>$G185*K$6</f>
        <v>20</v>
      </c>
      <c r="L185" s="20">
        <v>20</v>
      </c>
      <c r="M185" s="20">
        <v>3</v>
      </c>
      <c r="N185" s="21">
        <f>$G185*N$6</f>
        <v>20</v>
      </c>
      <c r="O185" s="20">
        <v>3</v>
      </c>
      <c r="P185" s="20">
        <v>9</v>
      </c>
      <c r="Q185" s="21">
        <f>$G185*Q$6</f>
        <v>20</v>
      </c>
      <c r="R185" s="22"/>
      <c r="S185" s="22"/>
      <c r="T185" s="22"/>
    </row>
    <row r="186" spans="5:20" x14ac:dyDescent="0.25">
      <c r="E186" s="24">
        <v>1163000326</v>
      </c>
      <c r="F186" s="32" t="s">
        <v>350</v>
      </c>
      <c r="G186" s="28">
        <v>2.5</v>
      </c>
      <c r="H186" s="33">
        <f>ROUND(G186*$H$3,1)-0.1</f>
        <v>1.2</v>
      </c>
      <c r="I186" s="21">
        <f t="shared" ref="I186:Q186" si="35">$G186*I$3</f>
        <v>2.5</v>
      </c>
      <c r="J186" s="21">
        <f t="shared" si="35"/>
        <v>2.5</v>
      </c>
      <c r="K186" s="21">
        <f t="shared" si="35"/>
        <v>2.5</v>
      </c>
      <c r="L186" s="20">
        <f t="shared" si="35"/>
        <v>2.5</v>
      </c>
      <c r="M186" s="20">
        <f t="shared" si="35"/>
        <v>2.5</v>
      </c>
      <c r="N186" s="21">
        <f t="shared" si="35"/>
        <v>2.5</v>
      </c>
      <c r="O186" s="20">
        <f t="shared" si="35"/>
        <v>2.5</v>
      </c>
      <c r="P186" s="20">
        <f t="shared" si="35"/>
        <v>2.5</v>
      </c>
      <c r="Q186" s="21">
        <f t="shared" si="35"/>
        <v>2.5</v>
      </c>
      <c r="R186" s="22"/>
      <c r="S186" s="22"/>
      <c r="T186" s="22"/>
    </row>
    <row r="187" spans="5:20" x14ac:dyDescent="0.25">
      <c r="E187" s="24">
        <v>11630004</v>
      </c>
      <c r="F187" s="15" t="s">
        <v>351</v>
      </c>
      <c r="G187" s="28">
        <v>10</v>
      </c>
      <c r="H187" s="33">
        <f t="shared" si="31"/>
        <v>5</v>
      </c>
      <c r="I187" s="21">
        <v>36</v>
      </c>
      <c r="J187" s="21">
        <v>48</v>
      </c>
      <c r="K187" s="21">
        <f t="shared" si="32"/>
        <v>40</v>
      </c>
      <c r="L187" s="20">
        <v>9</v>
      </c>
      <c r="M187" s="20">
        <v>9</v>
      </c>
      <c r="N187" s="21">
        <f t="shared" si="33"/>
        <v>40</v>
      </c>
      <c r="O187" s="20">
        <v>20</v>
      </c>
      <c r="P187" s="20">
        <v>9</v>
      </c>
      <c r="Q187" s="21">
        <v>9</v>
      </c>
      <c r="R187" s="22"/>
      <c r="S187" s="22"/>
      <c r="T187" s="22"/>
    </row>
    <row r="188" spans="5:20" x14ac:dyDescent="0.25">
      <c r="E188" s="24">
        <v>11640</v>
      </c>
      <c r="F188" s="40" t="s">
        <v>352</v>
      </c>
      <c r="G188" s="28">
        <v>3</v>
      </c>
      <c r="H188" s="141">
        <v>40</v>
      </c>
      <c r="I188" s="21">
        <f t="shared" ref="I188:K191" si="36">$G188*I$6</f>
        <v>12</v>
      </c>
      <c r="J188" s="21">
        <f t="shared" si="36"/>
        <v>12</v>
      </c>
      <c r="K188" s="21">
        <f t="shared" si="36"/>
        <v>12</v>
      </c>
      <c r="L188" s="20">
        <v>1</v>
      </c>
      <c r="M188" s="20">
        <v>1</v>
      </c>
      <c r="N188" s="21">
        <f>G188*$N$6</f>
        <v>12</v>
      </c>
      <c r="O188" s="20">
        <v>1</v>
      </c>
      <c r="P188" s="20">
        <v>1</v>
      </c>
      <c r="Q188" s="21">
        <f>G188*$Q$6</f>
        <v>12</v>
      </c>
      <c r="R188" s="22"/>
      <c r="S188" s="22"/>
      <c r="T188" s="22"/>
    </row>
    <row r="189" spans="5:20" x14ac:dyDescent="0.25">
      <c r="E189" s="24">
        <v>1164001</v>
      </c>
      <c r="F189" s="40" t="s">
        <v>353</v>
      </c>
      <c r="G189" s="28">
        <v>9</v>
      </c>
      <c r="H189" s="141"/>
      <c r="I189" s="21">
        <f t="shared" si="36"/>
        <v>36</v>
      </c>
      <c r="J189" s="21">
        <f t="shared" si="36"/>
        <v>36</v>
      </c>
      <c r="K189" s="21">
        <f t="shared" si="36"/>
        <v>36</v>
      </c>
      <c r="L189" s="20">
        <v>1</v>
      </c>
      <c r="M189" s="20">
        <v>1</v>
      </c>
      <c r="N189" s="21">
        <f>G189*$N$6</f>
        <v>36</v>
      </c>
      <c r="O189" s="20">
        <v>1</v>
      </c>
      <c r="P189" s="20">
        <v>1</v>
      </c>
      <c r="Q189" s="21">
        <f>G189*$Q$6</f>
        <v>36</v>
      </c>
      <c r="R189" s="22"/>
      <c r="S189" s="22"/>
      <c r="T189" s="22"/>
    </row>
    <row r="190" spans="5:20" x14ac:dyDescent="0.25">
      <c r="E190" s="24">
        <v>1164002</v>
      </c>
      <c r="F190" s="40" t="s">
        <v>354</v>
      </c>
      <c r="G190" s="28">
        <v>6</v>
      </c>
      <c r="H190" s="141"/>
      <c r="I190" s="21">
        <f t="shared" si="36"/>
        <v>24</v>
      </c>
      <c r="J190" s="21">
        <f t="shared" si="36"/>
        <v>24</v>
      </c>
      <c r="K190" s="21">
        <f t="shared" si="36"/>
        <v>24</v>
      </c>
      <c r="L190" s="20">
        <v>1</v>
      </c>
      <c r="M190" s="20">
        <v>1</v>
      </c>
      <c r="N190" s="21">
        <f>G190*$N$6</f>
        <v>24</v>
      </c>
      <c r="O190" s="20">
        <v>1</v>
      </c>
      <c r="P190" s="20">
        <v>1</v>
      </c>
      <c r="Q190" s="21">
        <f>G190*$Q$6</f>
        <v>24</v>
      </c>
      <c r="R190" s="22"/>
      <c r="S190" s="22"/>
      <c r="T190" s="22"/>
    </row>
    <row r="191" spans="5:20" x14ac:dyDescent="0.25">
      <c r="E191" s="24">
        <v>1164003</v>
      </c>
      <c r="F191" s="40" t="s">
        <v>355</v>
      </c>
      <c r="G191" s="28">
        <v>4</v>
      </c>
      <c r="H191" s="141"/>
      <c r="I191" s="21">
        <f t="shared" si="36"/>
        <v>16</v>
      </c>
      <c r="J191" s="21">
        <f t="shared" si="36"/>
        <v>16</v>
      </c>
      <c r="K191" s="21">
        <f t="shared" si="36"/>
        <v>16</v>
      </c>
      <c r="L191" s="20">
        <v>1</v>
      </c>
      <c r="M191" s="20">
        <v>1</v>
      </c>
      <c r="N191" s="21">
        <f>G191*$N$6</f>
        <v>16</v>
      </c>
      <c r="O191" s="20">
        <v>1</v>
      </c>
      <c r="P191" s="20">
        <v>1</v>
      </c>
      <c r="Q191" s="21">
        <f>G191*$Q$6</f>
        <v>16</v>
      </c>
      <c r="R191" s="22"/>
      <c r="S191" s="22"/>
      <c r="T191" s="22"/>
    </row>
    <row r="192" spans="5:20" x14ac:dyDescent="0.25">
      <c r="E192" s="24">
        <v>1164004</v>
      </c>
      <c r="F192" s="40" t="s">
        <v>356</v>
      </c>
      <c r="G192" s="28">
        <v>5</v>
      </c>
      <c r="H192" s="41">
        <v>30</v>
      </c>
      <c r="I192" s="21">
        <v>12</v>
      </c>
      <c r="J192" s="21">
        <v>12</v>
      </c>
      <c r="K192" s="21">
        <f>G192*$K$6</f>
        <v>20</v>
      </c>
      <c r="L192" s="20">
        <v>1</v>
      </c>
      <c r="M192" s="20">
        <v>5</v>
      </c>
      <c r="N192" s="21">
        <f>G192*$N$6</f>
        <v>20</v>
      </c>
      <c r="O192" s="20">
        <v>10</v>
      </c>
      <c r="P192" s="20">
        <v>1</v>
      </c>
      <c r="Q192" s="21">
        <f>G192*$Q$6</f>
        <v>20</v>
      </c>
      <c r="R192" s="22"/>
      <c r="S192" s="22"/>
      <c r="T192" s="22"/>
    </row>
    <row r="193" spans="5:20" ht="26.25" x14ac:dyDescent="0.25">
      <c r="E193" s="24">
        <v>1164005</v>
      </c>
      <c r="F193" s="32" t="s">
        <v>357</v>
      </c>
      <c r="G193" s="28">
        <v>1</v>
      </c>
      <c r="H193" s="33">
        <f>ROUND(G193*$H$3,1)+0.2</f>
        <v>0.7</v>
      </c>
      <c r="I193" s="21">
        <f t="shared" ref="I193:Q208" si="37">$G193*I$3</f>
        <v>1</v>
      </c>
      <c r="J193" s="21">
        <f t="shared" si="37"/>
        <v>1</v>
      </c>
      <c r="K193" s="21">
        <f t="shared" si="37"/>
        <v>1</v>
      </c>
      <c r="L193" s="20">
        <f t="shared" si="37"/>
        <v>1</v>
      </c>
      <c r="M193" s="20">
        <f t="shared" si="37"/>
        <v>1</v>
      </c>
      <c r="N193" s="21">
        <f t="shared" si="37"/>
        <v>1</v>
      </c>
      <c r="O193" s="20">
        <f t="shared" si="37"/>
        <v>1</v>
      </c>
      <c r="P193" s="20">
        <f t="shared" si="37"/>
        <v>1</v>
      </c>
      <c r="Q193" s="21">
        <f t="shared" si="37"/>
        <v>1</v>
      </c>
      <c r="R193" s="22"/>
      <c r="S193" s="22"/>
      <c r="T193" s="22"/>
    </row>
    <row r="194" spans="5:20" x14ac:dyDescent="0.25">
      <c r="E194" s="24">
        <v>133</v>
      </c>
      <c r="F194" s="32" t="s">
        <v>358</v>
      </c>
      <c r="G194" s="28">
        <v>0.5</v>
      </c>
      <c r="H194" s="142">
        <v>3</v>
      </c>
      <c r="I194" s="21">
        <f t="shared" si="37"/>
        <v>0.5</v>
      </c>
      <c r="J194" s="21">
        <f t="shared" si="37"/>
        <v>0.5</v>
      </c>
      <c r="K194" s="21">
        <f t="shared" si="37"/>
        <v>0.5</v>
      </c>
      <c r="L194" s="20">
        <f t="shared" si="37"/>
        <v>0.5</v>
      </c>
      <c r="M194" s="20">
        <f t="shared" si="37"/>
        <v>0.5</v>
      </c>
      <c r="N194" s="21">
        <f t="shared" si="37"/>
        <v>0.5</v>
      </c>
      <c r="O194" s="20">
        <f t="shared" si="37"/>
        <v>0.5</v>
      </c>
      <c r="P194" s="20">
        <f t="shared" si="37"/>
        <v>0.5</v>
      </c>
      <c r="Q194" s="21">
        <f t="shared" si="37"/>
        <v>0.5</v>
      </c>
      <c r="R194" s="22"/>
      <c r="S194" s="22"/>
      <c r="T194" s="22"/>
    </row>
    <row r="195" spans="5:20" x14ac:dyDescent="0.25">
      <c r="E195" s="24">
        <v>1333904</v>
      </c>
      <c r="F195" s="32" t="s">
        <v>359</v>
      </c>
      <c r="G195" s="28">
        <v>0.75</v>
      </c>
      <c r="H195" s="143"/>
      <c r="I195" s="21">
        <f t="shared" si="37"/>
        <v>0.75</v>
      </c>
      <c r="J195" s="21">
        <f t="shared" si="37"/>
        <v>0.75</v>
      </c>
      <c r="K195" s="21">
        <f t="shared" si="37"/>
        <v>0.75</v>
      </c>
      <c r="L195" s="20">
        <f t="shared" si="37"/>
        <v>0.75</v>
      </c>
      <c r="M195" s="20">
        <f t="shared" si="37"/>
        <v>0.75</v>
      </c>
      <c r="N195" s="21">
        <f t="shared" si="37"/>
        <v>0.75</v>
      </c>
      <c r="O195" s="20">
        <f t="shared" si="37"/>
        <v>0.75</v>
      </c>
      <c r="P195" s="20">
        <f t="shared" si="37"/>
        <v>0.75</v>
      </c>
      <c r="Q195" s="21">
        <f t="shared" si="37"/>
        <v>0.75</v>
      </c>
      <c r="R195" s="22"/>
      <c r="S195" s="22"/>
      <c r="T195" s="22"/>
    </row>
    <row r="196" spans="5:20" x14ac:dyDescent="0.25">
      <c r="E196" s="24">
        <v>1333905</v>
      </c>
      <c r="F196" s="32" t="s">
        <v>360</v>
      </c>
      <c r="G196" s="28">
        <v>1.5</v>
      </c>
      <c r="H196" s="143"/>
      <c r="I196" s="21">
        <f t="shared" si="37"/>
        <v>1.5</v>
      </c>
      <c r="J196" s="21">
        <f t="shared" si="37"/>
        <v>1.5</v>
      </c>
      <c r="K196" s="21">
        <f t="shared" si="37"/>
        <v>1.5</v>
      </c>
      <c r="L196" s="20">
        <f t="shared" si="37"/>
        <v>1.5</v>
      </c>
      <c r="M196" s="20">
        <f t="shared" si="37"/>
        <v>1.5</v>
      </c>
      <c r="N196" s="21">
        <f t="shared" si="37"/>
        <v>1.5</v>
      </c>
      <c r="O196" s="20">
        <f t="shared" si="37"/>
        <v>1.5</v>
      </c>
      <c r="P196" s="20">
        <f t="shared" si="37"/>
        <v>1.5</v>
      </c>
      <c r="Q196" s="21">
        <f t="shared" si="37"/>
        <v>1.5</v>
      </c>
      <c r="R196" s="22"/>
      <c r="S196" s="22"/>
      <c r="T196" s="22"/>
    </row>
    <row r="197" spans="5:20" ht="26.25" x14ac:dyDescent="0.25">
      <c r="E197" s="14" t="s">
        <v>361</v>
      </c>
      <c r="F197" s="32" t="s">
        <v>362</v>
      </c>
      <c r="G197" s="28">
        <v>1</v>
      </c>
      <c r="H197" s="33">
        <f>ROUND(G197*$H$3,1)+0.2</f>
        <v>0.7</v>
      </c>
      <c r="I197" s="21">
        <v>12</v>
      </c>
      <c r="J197" s="21">
        <v>8</v>
      </c>
      <c r="K197" s="21">
        <f>G197*$K$6</f>
        <v>4</v>
      </c>
      <c r="L197" s="20">
        <v>4</v>
      </c>
      <c r="M197" s="20">
        <v>4</v>
      </c>
      <c r="N197" s="21">
        <v>8</v>
      </c>
      <c r="O197" s="20">
        <v>2</v>
      </c>
      <c r="P197" s="20">
        <v>1</v>
      </c>
      <c r="Q197" s="21">
        <f>G197*$Q$6</f>
        <v>4</v>
      </c>
      <c r="R197" s="22"/>
      <c r="S197" s="22"/>
      <c r="T197" s="22"/>
    </row>
    <row r="198" spans="5:20" x14ac:dyDescent="0.25">
      <c r="E198" s="14" t="s">
        <v>363</v>
      </c>
      <c r="F198" s="32" t="s">
        <v>364</v>
      </c>
      <c r="G198" s="28">
        <v>4.75</v>
      </c>
      <c r="H198" s="33">
        <f>ROUND(G198*$H$3,0)</f>
        <v>2</v>
      </c>
      <c r="I198" s="21">
        <f t="shared" si="37"/>
        <v>4.75</v>
      </c>
      <c r="J198" s="21">
        <f t="shared" si="37"/>
        <v>4.75</v>
      </c>
      <c r="K198" s="21">
        <f t="shared" si="37"/>
        <v>4.75</v>
      </c>
      <c r="L198" s="20">
        <f t="shared" si="37"/>
        <v>4.75</v>
      </c>
      <c r="M198" s="20">
        <f t="shared" si="37"/>
        <v>4.75</v>
      </c>
      <c r="N198" s="21">
        <f t="shared" si="37"/>
        <v>4.75</v>
      </c>
      <c r="O198" s="20">
        <f t="shared" si="37"/>
        <v>4.75</v>
      </c>
      <c r="P198" s="20">
        <f t="shared" si="37"/>
        <v>4.75</v>
      </c>
      <c r="Q198" s="21">
        <f t="shared" si="37"/>
        <v>4.75</v>
      </c>
      <c r="R198" s="22"/>
      <c r="S198" s="22"/>
      <c r="T198" s="22"/>
    </row>
    <row r="199" spans="5:20" x14ac:dyDescent="0.25">
      <c r="E199" s="14" t="s">
        <v>365</v>
      </c>
      <c r="F199" s="32" t="s">
        <v>366</v>
      </c>
      <c r="G199" s="28">
        <v>3</v>
      </c>
      <c r="H199" s="33">
        <f>ROUND(G199*$H$3,0)</f>
        <v>2</v>
      </c>
      <c r="I199" s="21">
        <f t="shared" si="37"/>
        <v>3</v>
      </c>
      <c r="J199" s="21">
        <f t="shared" si="37"/>
        <v>3</v>
      </c>
      <c r="K199" s="21">
        <f t="shared" si="37"/>
        <v>3</v>
      </c>
      <c r="L199" s="20">
        <f t="shared" si="37"/>
        <v>3</v>
      </c>
      <c r="M199" s="20">
        <f t="shared" si="37"/>
        <v>3</v>
      </c>
      <c r="N199" s="21">
        <f t="shared" si="37"/>
        <v>3</v>
      </c>
      <c r="O199" s="20">
        <f t="shared" si="37"/>
        <v>3</v>
      </c>
      <c r="P199" s="20">
        <f t="shared" si="37"/>
        <v>3</v>
      </c>
      <c r="Q199" s="21">
        <f t="shared" si="37"/>
        <v>3</v>
      </c>
      <c r="R199" s="22"/>
      <c r="S199" s="22"/>
      <c r="T199" s="22"/>
    </row>
    <row r="200" spans="5:20" ht="26.25" x14ac:dyDescent="0.25">
      <c r="E200" s="14" t="s">
        <v>367</v>
      </c>
      <c r="F200" s="32" t="s">
        <v>368</v>
      </c>
      <c r="G200" s="28">
        <v>2</v>
      </c>
      <c r="H200" s="33">
        <f>ROUND(G200*$H$3,0)</f>
        <v>1</v>
      </c>
      <c r="I200" s="21">
        <f t="shared" si="37"/>
        <v>2</v>
      </c>
      <c r="J200" s="21">
        <f t="shared" si="37"/>
        <v>2</v>
      </c>
      <c r="K200" s="21">
        <f t="shared" si="37"/>
        <v>2</v>
      </c>
      <c r="L200" s="20">
        <f t="shared" si="37"/>
        <v>2</v>
      </c>
      <c r="M200" s="20">
        <f t="shared" si="37"/>
        <v>2</v>
      </c>
      <c r="N200" s="21">
        <f t="shared" si="37"/>
        <v>2</v>
      </c>
      <c r="O200" s="20">
        <f t="shared" si="37"/>
        <v>2</v>
      </c>
      <c r="P200" s="20">
        <f t="shared" si="37"/>
        <v>2</v>
      </c>
      <c r="Q200" s="21">
        <f t="shared" si="37"/>
        <v>2</v>
      </c>
      <c r="R200" s="22"/>
      <c r="S200" s="22"/>
      <c r="T200" s="22"/>
    </row>
    <row r="201" spans="5:20" x14ac:dyDescent="0.25">
      <c r="E201" s="14" t="s">
        <v>369</v>
      </c>
      <c r="F201" s="32" t="s">
        <v>370</v>
      </c>
      <c r="G201" s="42">
        <v>4.25</v>
      </c>
      <c r="H201" s="18">
        <f>ROUND(G201*$H$3,0)</f>
        <v>2</v>
      </c>
      <c r="I201" s="21">
        <f t="shared" si="37"/>
        <v>4.25</v>
      </c>
      <c r="J201" s="21">
        <f t="shared" si="37"/>
        <v>4.25</v>
      </c>
      <c r="K201" s="21">
        <f t="shared" si="37"/>
        <v>4.25</v>
      </c>
      <c r="L201" s="20">
        <f t="shared" si="37"/>
        <v>4.25</v>
      </c>
      <c r="M201" s="20">
        <f t="shared" si="37"/>
        <v>4.25</v>
      </c>
      <c r="N201" s="21">
        <f t="shared" si="37"/>
        <v>4.25</v>
      </c>
      <c r="O201" s="20">
        <f t="shared" si="37"/>
        <v>4.25</v>
      </c>
      <c r="P201" s="20">
        <f t="shared" si="37"/>
        <v>4.25</v>
      </c>
      <c r="Q201" s="21">
        <f t="shared" si="37"/>
        <v>4.25</v>
      </c>
      <c r="R201" s="22"/>
      <c r="S201" s="22"/>
      <c r="T201" s="22"/>
    </row>
    <row r="202" spans="5:20" x14ac:dyDescent="0.25">
      <c r="E202" s="14" t="s">
        <v>371</v>
      </c>
      <c r="F202" s="15" t="s">
        <v>372</v>
      </c>
      <c r="G202" s="42">
        <v>1.5</v>
      </c>
      <c r="H202" s="18">
        <f>ROUND(G202*$H$3,1)+0.1</f>
        <v>0.9</v>
      </c>
      <c r="I202" s="21">
        <f t="shared" si="37"/>
        <v>1.5</v>
      </c>
      <c r="J202" s="21">
        <f t="shared" si="37"/>
        <v>1.5</v>
      </c>
      <c r="K202" s="21">
        <f t="shared" si="37"/>
        <v>1.5</v>
      </c>
      <c r="L202" s="20">
        <f t="shared" si="37"/>
        <v>1.5</v>
      </c>
      <c r="M202" s="20">
        <f t="shared" si="37"/>
        <v>1.5</v>
      </c>
      <c r="N202" s="21">
        <f t="shared" si="37"/>
        <v>1.5</v>
      </c>
      <c r="O202" s="20">
        <f t="shared" si="37"/>
        <v>1.5</v>
      </c>
      <c r="P202" s="20">
        <f t="shared" si="37"/>
        <v>1.5</v>
      </c>
      <c r="Q202" s="21">
        <f t="shared" si="37"/>
        <v>1.5</v>
      </c>
      <c r="R202" s="22"/>
      <c r="S202" s="22"/>
      <c r="T202" s="22"/>
    </row>
    <row r="203" spans="5:20" x14ac:dyDescent="0.25">
      <c r="E203" s="14" t="s">
        <v>373</v>
      </c>
      <c r="F203" s="15" t="s">
        <v>374</v>
      </c>
      <c r="G203" s="42">
        <v>23.4</v>
      </c>
      <c r="H203" s="18">
        <f t="shared" ref="H203:H207" si="38">ROUND(G203*$H$3,0)</f>
        <v>12</v>
      </c>
      <c r="I203" s="21">
        <f t="shared" si="37"/>
        <v>23.4</v>
      </c>
      <c r="J203" s="21">
        <f t="shared" si="37"/>
        <v>23.4</v>
      </c>
      <c r="K203" s="21">
        <f t="shared" si="37"/>
        <v>23.4</v>
      </c>
      <c r="L203" s="20">
        <f t="shared" si="37"/>
        <v>23.4</v>
      </c>
      <c r="M203" s="20">
        <f t="shared" si="37"/>
        <v>23.4</v>
      </c>
      <c r="N203" s="21">
        <f t="shared" si="37"/>
        <v>23.4</v>
      </c>
      <c r="O203" s="20">
        <f t="shared" si="37"/>
        <v>23.4</v>
      </c>
      <c r="P203" s="20">
        <f t="shared" si="37"/>
        <v>23.4</v>
      </c>
      <c r="Q203" s="21">
        <f t="shared" si="37"/>
        <v>23.4</v>
      </c>
      <c r="R203" s="22"/>
      <c r="S203" s="22"/>
      <c r="T203" s="22"/>
    </row>
    <row r="204" spans="5:20" ht="26.25" x14ac:dyDescent="0.25">
      <c r="E204" s="14" t="s">
        <v>375</v>
      </c>
      <c r="F204" s="15" t="s">
        <v>376</v>
      </c>
      <c r="G204" s="42">
        <v>7.5</v>
      </c>
      <c r="H204" s="18">
        <f t="shared" si="38"/>
        <v>4</v>
      </c>
      <c r="I204" s="21">
        <f t="shared" si="37"/>
        <v>7.5</v>
      </c>
      <c r="J204" s="21">
        <f t="shared" si="37"/>
        <v>7.5</v>
      </c>
      <c r="K204" s="21">
        <f t="shared" si="37"/>
        <v>7.5</v>
      </c>
      <c r="L204" s="20">
        <f t="shared" si="37"/>
        <v>7.5</v>
      </c>
      <c r="M204" s="20">
        <f t="shared" si="37"/>
        <v>7.5</v>
      </c>
      <c r="N204" s="21">
        <f t="shared" si="37"/>
        <v>7.5</v>
      </c>
      <c r="O204" s="20">
        <f t="shared" si="37"/>
        <v>7.5</v>
      </c>
      <c r="P204" s="20">
        <f t="shared" si="37"/>
        <v>7.5</v>
      </c>
      <c r="Q204" s="21">
        <f t="shared" si="37"/>
        <v>7.5</v>
      </c>
      <c r="R204" s="22"/>
      <c r="S204" s="22"/>
      <c r="T204" s="22"/>
    </row>
    <row r="205" spans="5:20" x14ac:dyDescent="0.25">
      <c r="E205" s="14" t="s">
        <v>377</v>
      </c>
      <c r="F205" s="15" t="s">
        <v>378</v>
      </c>
      <c r="G205" s="42">
        <v>2</v>
      </c>
      <c r="H205" s="18">
        <f>ROUND(G205*$H$3,1)</f>
        <v>1</v>
      </c>
      <c r="I205" s="21">
        <f t="shared" si="37"/>
        <v>2</v>
      </c>
      <c r="J205" s="21">
        <f t="shared" si="37"/>
        <v>2</v>
      </c>
      <c r="K205" s="21">
        <f t="shared" si="37"/>
        <v>2</v>
      </c>
      <c r="L205" s="20">
        <f t="shared" si="37"/>
        <v>2</v>
      </c>
      <c r="M205" s="20">
        <f t="shared" si="37"/>
        <v>2</v>
      </c>
      <c r="N205" s="21">
        <f t="shared" si="37"/>
        <v>2</v>
      </c>
      <c r="O205" s="20">
        <f t="shared" si="37"/>
        <v>2</v>
      </c>
      <c r="P205" s="20">
        <f t="shared" si="37"/>
        <v>2</v>
      </c>
      <c r="Q205" s="21">
        <f t="shared" si="37"/>
        <v>2</v>
      </c>
      <c r="R205" s="22"/>
      <c r="S205" s="22"/>
      <c r="T205" s="22"/>
    </row>
    <row r="206" spans="5:20" ht="26.25" x14ac:dyDescent="0.25">
      <c r="E206" s="14" t="s">
        <v>379</v>
      </c>
      <c r="F206" s="15" t="s">
        <v>380</v>
      </c>
      <c r="G206" s="42">
        <v>8.25</v>
      </c>
      <c r="H206" s="18">
        <f t="shared" si="38"/>
        <v>4</v>
      </c>
      <c r="I206" s="21">
        <f t="shared" si="37"/>
        <v>8.25</v>
      </c>
      <c r="J206" s="21">
        <f t="shared" si="37"/>
        <v>8.25</v>
      </c>
      <c r="K206" s="21">
        <f t="shared" si="37"/>
        <v>8.25</v>
      </c>
      <c r="L206" s="20">
        <f t="shared" si="37"/>
        <v>8.25</v>
      </c>
      <c r="M206" s="20">
        <f t="shared" si="37"/>
        <v>8.25</v>
      </c>
      <c r="N206" s="21">
        <f t="shared" si="37"/>
        <v>8.25</v>
      </c>
      <c r="O206" s="20">
        <f t="shared" si="37"/>
        <v>8.25</v>
      </c>
      <c r="P206" s="20">
        <f t="shared" si="37"/>
        <v>8.25</v>
      </c>
      <c r="Q206" s="21">
        <f t="shared" si="37"/>
        <v>8.25</v>
      </c>
      <c r="R206" s="22"/>
      <c r="S206" s="22"/>
      <c r="T206" s="22"/>
    </row>
    <row r="207" spans="5:20" ht="26.25" x14ac:dyDescent="0.25">
      <c r="E207" s="14" t="s">
        <v>381</v>
      </c>
      <c r="F207" s="15" t="s">
        <v>382</v>
      </c>
      <c r="G207" s="42">
        <v>19.5</v>
      </c>
      <c r="H207" s="18">
        <f t="shared" si="38"/>
        <v>10</v>
      </c>
      <c r="I207" s="21">
        <f t="shared" si="37"/>
        <v>19.5</v>
      </c>
      <c r="J207" s="21">
        <f t="shared" si="37"/>
        <v>19.5</v>
      </c>
      <c r="K207" s="21">
        <f t="shared" si="37"/>
        <v>19.5</v>
      </c>
      <c r="L207" s="20">
        <f t="shared" si="37"/>
        <v>19.5</v>
      </c>
      <c r="M207" s="20">
        <f t="shared" si="37"/>
        <v>19.5</v>
      </c>
      <c r="N207" s="21">
        <f t="shared" si="37"/>
        <v>19.5</v>
      </c>
      <c r="O207" s="20">
        <f t="shared" si="37"/>
        <v>19.5</v>
      </c>
      <c r="P207" s="20">
        <f t="shared" si="37"/>
        <v>19.5</v>
      </c>
      <c r="Q207" s="21">
        <f t="shared" si="37"/>
        <v>19.5</v>
      </c>
      <c r="R207" s="22"/>
      <c r="S207" s="22"/>
      <c r="T207" s="22"/>
    </row>
    <row r="208" spans="5:20" x14ac:dyDescent="0.25">
      <c r="E208" s="14" t="s">
        <v>383</v>
      </c>
      <c r="F208" s="15" t="s">
        <v>384</v>
      </c>
      <c r="G208" s="42">
        <v>5.5</v>
      </c>
      <c r="H208" s="18">
        <v>1</v>
      </c>
      <c r="I208" s="21">
        <f t="shared" si="37"/>
        <v>5.5</v>
      </c>
      <c r="J208" s="21">
        <f t="shared" si="37"/>
        <v>5.5</v>
      </c>
      <c r="K208" s="21">
        <f t="shared" si="37"/>
        <v>5.5</v>
      </c>
      <c r="L208" s="20">
        <f t="shared" si="37"/>
        <v>5.5</v>
      </c>
      <c r="M208" s="20">
        <f t="shared" si="37"/>
        <v>5.5</v>
      </c>
      <c r="N208" s="21">
        <f t="shared" si="37"/>
        <v>5.5</v>
      </c>
      <c r="O208" s="20">
        <f t="shared" si="37"/>
        <v>5.5</v>
      </c>
      <c r="P208" s="20">
        <f t="shared" si="37"/>
        <v>5.5</v>
      </c>
      <c r="Q208" s="21">
        <f t="shared" si="37"/>
        <v>5.5</v>
      </c>
      <c r="R208" s="22"/>
      <c r="S208" s="22"/>
      <c r="T208" s="22"/>
    </row>
    <row r="209" spans="5:20" ht="26.25" x14ac:dyDescent="0.25">
      <c r="E209" s="14" t="s">
        <v>385</v>
      </c>
      <c r="F209" s="15" t="s">
        <v>386</v>
      </c>
      <c r="G209" s="42">
        <v>44.27</v>
      </c>
      <c r="H209" s="18">
        <v>11</v>
      </c>
      <c r="I209" s="21">
        <f t="shared" ref="I209:Q222" si="39">$G209*I$3</f>
        <v>44.27</v>
      </c>
      <c r="J209" s="21">
        <f t="shared" si="39"/>
        <v>44.27</v>
      </c>
      <c r="K209" s="21">
        <f t="shared" si="39"/>
        <v>44.27</v>
      </c>
      <c r="L209" s="20">
        <f t="shared" si="39"/>
        <v>44.27</v>
      </c>
      <c r="M209" s="20">
        <f t="shared" si="39"/>
        <v>44.27</v>
      </c>
      <c r="N209" s="21">
        <f t="shared" si="39"/>
        <v>44.27</v>
      </c>
      <c r="O209" s="20">
        <f t="shared" si="39"/>
        <v>44.27</v>
      </c>
      <c r="P209" s="20">
        <f t="shared" si="39"/>
        <v>44.27</v>
      </c>
      <c r="Q209" s="21">
        <f t="shared" si="39"/>
        <v>44.27</v>
      </c>
      <c r="R209" s="22"/>
      <c r="S209" s="22"/>
      <c r="T209" s="22"/>
    </row>
    <row r="210" spans="5:20" x14ac:dyDescent="0.25">
      <c r="E210" s="14" t="s">
        <v>387</v>
      </c>
      <c r="F210" s="15" t="s">
        <v>388</v>
      </c>
      <c r="G210" s="42">
        <v>17.16</v>
      </c>
      <c r="H210" s="18">
        <v>4</v>
      </c>
      <c r="I210" s="21">
        <f t="shared" si="39"/>
        <v>17.16</v>
      </c>
      <c r="J210" s="21">
        <f t="shared" si="39"/>
        <v>17.16</v>
      </c>
      <c r="K210" s="21">
        <f t="shared" si="39"/>
        <v>17.16</v>
      </c>
      <c r="L210" s="20">
        <f t="shared" si="39"/>
        <v>17.16</v>
      </c>
      <c r="M210" s="20">
        <f t="shared" si="39"/>
        <v>17.16</v>
      </c>
      <c r="N210" s="21">
        <f t="shared" si="39"/>
        <v>17.16</v>
      </c>
      <c r="O210" s="20">
        <f t="shared" si="39"/>
        <v>17.16</v>
      </c>
      <c r="P210" s="20">
        <f t="shared" si="39"/>
        <v>17.16</v>
      </c>
      <c r="Q210" s="21">
        <f t="shared" si="39"/>
        <v>17.16</v>
      </c>
      <c r="R210" s="22"/>
      <c r="S210" s="22"/>
      <c r="T210" s="22"/>
    </row>
    <row r="211" spans="5:20" x14ac:dyDescent="0.25">
      <c r="E211" s="14" t="s">
        <v>389</v>
      </c>
      <c r="F211" s="15" t="s">
        <v>390</v>
      </c>
      <c r="G211" s="42">
        <v>2</v>
      </c>
      <c r="H211" s="33">
        <v>0.5</v>
      </c>
      <c r="I211" s="21">
        <f t="shared" si="39"/>
        <v>2</v>
      </c>
      <c r="J211" s="21">
        <f t="shared" si="39"/>
        <v>2</v>
      </c>
      <c r="K211" s="21">
        <f t="shared" si="39"/>
        <v>2</v>
      </c>
      <c r="L211" s="20">
        <f t="shared" si="39"/>
        <v>2</v>
      </c>
      <c r="M211" s="20">
        <f t="shared" si="39"/>
        <v>2</v>
      </c>
      <c r="N211" s="21">
        <f t="shared" si="39"/>
        <v>2</v>
      </c>
      <c r="O211" s="20">
        <f t="shared" si="39"/>
        <v>2</v>
      </c>
      <c r="P211" s="20">
        <f t="shared" si="39"/>
        <v>2</v>
      </c>
      <c r="Q211" s="21">
        <f t="shared" si="39"/>
        <v>2</v>
      </c>
      <c r="R211" s="22"/>
      <c r="S211" s="22"/>
      <c r="T211" s="22"/>
    </row>
    <row r="212" spans="5:20" x14ac:dyDescent="0.25">
      <c r="E212" s="14" t="s">
        <v>391</v>
      </c>
      <c r="F212" s="15" t="s">
        <v>392</v>
      </c>
      <c r="G212" s="42">
        <v>1</v>
      </c>
      <c r="H212" s="33">
        <v>0.5</v>
      </c>
      <c r="I212" s="21">
        <f t="shared" si="39"/>
        <v>1</v>
      </c>
      <c r="J212" s="21">
        <f t="shared" si="39"/>
        <v>1</v>
      </c>
      <c r="K212" s="21">
        <f t="shared" si="39"/>
        <v>1</v>
      </c>
      <c r="L212" s="20">
        <f t="shared" si="39"/>
        <v>1</v>
      </c>
      <c r="M212" s="20">
        <f t="shared" si="39"/>
        <v>1</v>
      </c>
      <c r="N212" s="21">
        <f t="shared" si="39"/>
        <v>1</v>
      </c>
      <c r="O212" s="20">
        <f t="shared" si="39"/>
        <v>1</v>
      </c>
      <c r="P212" s="20">
        <f t="shared" si="39"/>
        <v>1</v>
      </c>
      <c r="Q212" s="21">
        <f t="shared" si="39"/>
        <v>1</v>
      </c>
      <c r="R212" s="22"/>
      <c r="S212" s="22"/>
      <c r="T212" s="22"/>
    </row>
    <row r="213" spans="5:20" x14ac:dyDescent="0.25">
      <c r="E213" s="14" t="s">
        <v>393</v>
      </c>
      <c r="F213" s="15" t="s">
        <v>262</v>
      </c>
      <c r="G213" s="42">
        <v>0.2</v>
      </c>
      <c r="H213" s="33">
        <v>0.5</v>
      </c>
      <c r="I213" s="21">
        <v>1</v>
      </c>
      <c r="J213" s="21">
        <v>1</v>
      </c>
      <c r="K213" s="21">
        <v>1</v>
      </c>
      <c r="L213" s="19">
        <v>1</v>
      </c>
      <c r="M213" s="19">
        <v>1</v>
      </c>
      <c r="N213" s="21">
        <v>1</v>
      </c>
      <c r="O213" s="19">
        <v>1</v>
      </c>
      <c r="P213" s="19">
        <v>1</v>
      </c>
      <c r="Q213" s="21">
        <v>1</v>
      </c>
      <c r="R213" s="22"/>
      <c r="S213" s="22"/>
      <c r="T213" s="22"/>
    </row>
    <row r="214" spans="5:20" x14ac:dyDescent="0.25">
      <c r="E214" s="14" t="s">
        <v>394</v>
      </c>
      <c r="F214" s="15" t="s">
        <v>395</v>
      </c>
      <c r="G214" s="42">
        <v>6</v>
      </c>
      <c r="H214" s="18">
        <f t="shared" ref="H214" si="40">$G214*H$3</f>
        <v>3</v>
      </c>
      <c r="I214" s="21">
        <f t="shared" si="39"/>
        <v>6</v>
      </c>
      <c r="J214" s="21">
        <f t="shared" si="39"/>
        <v>6</v>
      </c>
      <c r="K214" s="21">
        <f t="shared" si="39"/>
        <v>6</v>
      </c>
      <c r="L214" s="20">
        <f t="shared" si="39"/>
        <v>6</v>
      </c>
      <c r="M214" s="20">
        <f t="shared" si="39"/>
        <v>6</v>
      </c>
      <c r="N214" s="21">
        <f t="shared" si="39"/>
        <v>6</v>
      </c>
      <c r="O214" s="20">
        <f t="shared" si="39"/>
        <v>6</v>
      </c>
      <c r="P214" s="20">
        <f t="shared" si="39"/>
        <v>6</v>
      </c>
      <c r="Q214" s="21">
        <f t="shared" si="39"/>
        <v>6</v>
      </c>
      <c r="R214" s="22"/>
      <c r="S214" s="22"/>
      <c r="T214" s="22"/>
    </row>
    <row r="215" spans="5:20" x14ac:dyDescent="0.25">
      <c r="E215" s="14" t="s">
        <v>396</v>
      </c>
      <c r="F215" s="15" t="s">
        <v>397</v>
      </c>
      <c r="G215" s="42">
        <v>18.5</v>
      </c>
      <c r="H215" s="18">
        <v>4</v>
      </c>
      <c r="I215" s="21">
        <f t="shared" si="39"/>
        <v>18.5</v>
      </c>
      <c r="J215" s="21">
        <f t="shared" si="39"/>
        <v>18.5</v>
      </c>
      <c r="K215" s="21">
        <f t="shared" si="39"/>
        <v>18.5</v>
      </c>
      <c r="L215" s="20">
        <f t="shared" si="39"/>
        <v>18.5</v>
      </c>
      <c r="M215" s="20">
        <f t="shared" si="39"/>
        <v>18.5</v>
      </c>
      <c r="N215" s="21">
        <f t="shared" si="39"/>
        <v>18.5</v>
      </c>
      <c r="O215" s="20">
        <f t="shared" si="39"/>
        <v>18.5</v>
      </c>
      <c r="P215" s="20">
        <f t="shared" si="39"/>
        <v>18.5</v>
      </c>
      <c r="Q215" s="21">
        <f t="shared" si="39"/>
        <v>18.5</v>
      </c>
      <c r="R215" s="22"/>
      <c r="S215" s="22"/>
      <c r="T215" s="22"/>
    </row>
    <row r="216" spans="5:20" x14ac:dyDescent="0.25">
      <c r="E216" s="14" t="s">
        <v>398</v>
      </c>
      <c r="F216" s="15" t="s">
        <v>399</v>
      </c>
      <c r="G216" s="42">
        <v>4.75</v>
      </c>
      <c r="H216" s="18">
        <v>1</v>
      </c>
      <c r="I216" s="21">
        <f t="shared" si="39"/>
        <v>4.75</v>
      </c>
      <c r="J216" s="21">
        <f t="shared" si="39"/>
        <v>4.75</v>
      </c>
      <c r="K216" s="21">
        <f t="shared" si="39"/>
        <v>4.75</v>
      </c>
      <c r="L216" s="20">
        <f t="shared" si="39"/>
        <v>4.75</v>
      </c>
      <c r="M216" s="20">
        <f t="shared" si="39"/>
        <v>4.75</v>
      </c>
      <c r="N216" s="21">
        <f t="shared" si="39"/>
        <v>4.75</v>
      </c>
      <c r="O216" s="20">
        <f t="shared" si="39"/>
        <v>4.75</v>
      </c>
      <c r="P216" s="20">
        <f t="shared" si="39"/>
        <v>4.75</v>
      </c>
      <c r="Q216" s="21">
        <f t="shared" si="39"/>
        <v>4.75</v>
      </c>
      <c r="R216" s="22"/>
      <c r="S216" s="22"/>
      <c r="T216" s="22"/>
    </row>
    <row r="217" spans="5:20" x14ac:dyDescent="0.25">
      <c r="E217" s="14" t="s">
        <v>400</v>
      </c>
      <c r="F217" s="15" t="s">
        <v>401</v>
      </c>
      <c r="G217" s="42">
        <v>41.25</v>
      </c>
      <c r="H217" s="18">
        <f>10+40</f>
        <v>50</v>
      </c>
      <c r="I217" s="21">
        <f t="shared" si="39"/>
        <v>41.25</v>
      </c>
      <c r="J217" s="21">
        <f t="shared" si="39"/>
        <v>41.25</v>
      </c>
      <c r="K217" s="21">
        <f t="shared" si="39"/>
        <v>41.25</v>
      </c>
      <c r="L217" s="20">
        <f t="shared" si="39"/>
        <v>41.25</v>
      </c>
      <c r="M217" s="20">
        <f t="shared" si="39"/>
        <v>41.25</v>
      </c>
      <c r="N217" s="21">
        <f t="shared" si="39"/>
        <v>41.25</v>
      </c>
      <c r="O217" s="20">
        <f t="shared" si="39"/>
        <v>41.25</v>
      </c>
      <c r="P217" s="20">
        <f t="shared" si="39"/>
        <v>41.25</v>
      </c>
      <c r="Q217" s="21">
        <f t="shared" si="39"/>
        <v>41.25</v>
      </c>
      <c r="R217" s="22"/>
      <c r="S217" s="22"/>
      <c r="T217" s="22"/>
    </row>
    <row r="218" spans="5:20" x14ac:dyDescent="0.25">
      <c r="E218" s="43" t="s">
        <v>402</v>
      </c>
      <c r="F218" s="44" t="s">
        <v>403</v>
      </c>
      <c r="G218" s="42">
        <v>0.5</v>
      </c>
      <c r="H218" s="33">
        <v>0.5</v>
      </c>
      <c r="I218" s="21">
        <f t="shared" si="39"/>
        <v>0.5</v>
      </c>
      <c r="J218" s="21">
        <f t="shared" si="39"/>
        <v>0.5</v>
      </c>
      <c r="K218" s="21">
        <f t="shared" si="39"/>
        <v>0.5</v>
      </c>
      <c r="L218" s="20">
        <f t="shared" si="39"/>
        <v>0.5</v>
      </c>
      <c r="M218" s="20">
        <f t="shared" si="39"/>
        <v>0.5</v>
      </c>
      <c r="N218" s="21">
        <f t="shared" si="39"/>
        <v>0.5</v>
      </c>
      <c r="O218" s="20">
        <f t="shared" si="39"/>
        <v>0.5</v>
      </c>
      <c r="P218" s="20">
        <f t="shared" si="39"/>
        <v>0.5</v>
      </c>
      <c r="Q218" s="21">
        <f t="shared" si="39"/>
        <v>0.5</v>
      </c>
      <c r="R218" s="22"/>
      <c r="S218" s="22"/>
      <c r="T218" s="22"/>
    </row>
    <row r="219" spans="5:20" x14ac:dyDescent="0.25">
      <c r="E219" s="43" t="s">
        <v>404</v>
      </c>
      <c r="F219" s="44" t="s">
        <v>405</v>
      </c>
      <c r="G219" s="42">
        <v>20.5</v>
      </c>
      <c r="H219" s="18">
        <v>5</v>
      </c>
      <c r="I219" s="21">
        <f t="shared" si="39"/>
        <v>20.5</v>
      </c>
      <c r="J219" s="21">
        <f t="shared" si="39"/>
        <v>20.5</v>
      </c>
      <c r="K219" s="21">
        <f t="shared" si="39"/>
        <v>20.5</v>
      </c>
      <c r="L219" s="20">
        <f t="shared" si="39"/>
        <v>20.5</v>
      </c>
      <c r="M219" s="20">
        <f t="shared" si="39"/>
        <v>20.5</v>
      </c>
      <c r="N219" s="21">
        <f t="shared" si="39"/>
        <v>20.5</v>
      </c>
      <c r="O219" s="20">
        <f t="shared" si="39"/>
        <v>20.5</v>
      </c>
      <c r="P219" s="20">
        <f t="shared" si="39"/>
        <v>20.5</v>
      </c>
      <c r="Q219" s="21">
        <f t="shared" si="39"/>
        <v>20.5</v>
      </c>
      <c r="R219" s="22"/>
      <c r="S219" s="22"/>
      <c r="T219" s="22"/>
    </row>
    <row r="220" spans="5:20" x14ac:dyDescent="0.25">
      <c r="E220" s="45" t="s">
        <v>406</v>
      </c>
      <c r="F220" s="44" t="s">
        <v>407</v>
      </c>
      <c r="G220" s="42">
        <v>3</v>
      </c>
      <c r="H220" s="18">
        <v>1.5</v>
      </c>
      <c r="I220" s="21">
        <f t="shared" si="39"/>
        <v>3</v>
      </c>
      <c r="J220" s="21">
        <f t="shared" si="39"/>
        <v>3</v>
      </c>
      <c r="K220" s="21">
        <f t="shared" si="39"/>
        <v>3</v>
      </c>
      <c r="L220" s="20">
        <f t="shared" si="39"/>
        <v>3</v>
      </c>
      <c r="M220" s="20">
        <f t="shared" si="39"/>
        <v>3</v>
      </c>
      <c r="N220" s="21">
        <f t="shared" si="39"/>
        <v>3</v>
      </c>
      <c r="O220" s="20">
        <f t="shared" si="39"/>
        <v>3</v>
      </c>
      <c r="P220" s="20">
        <f t="shared" si="39"/>
        <v>3</v>
      </c>
      <c r="Q220" s="21">
        <f t="shared" si="39"/>
        <v>3</v>
      </c>
      <c r="R220" s="22"/>
      <c r="S220" s="22"/>
      <c r="T220" s="22"/>
    </row>
    <row r="221" spans="5:20" x14ac:dyDescent="0.25">
      <c r="E221" s="45" t="s">
        <v>408</v>
      </c>
      <c r="F221" s="44" t="s">
        <v>395</v>
      </c>
      <c r="G221" s="42">
        <v>11</v>
      </c>
      <c r="H221" s="18">
        <v>2.5</v>
      </c>
      <c r="I221" s="21">
        <f t="shared" si="39"/>
        <v>11</v>
      </c>
      <c r="J221" s="21">
        <f t="shared" si="39"/>
        <v>11</v>
      </c>
      <c r="K221" s="21">
        <f t="shared" si="39"/>
        <v>11</v>
      </c>
      <c r="L221" s="20">
        <f t="shared" si="39"/>
        <v>11</v>
      </c>
      <c r="M221" s="20">
        <f t="shared" si="39"/>
        <v>11</v>
      </c>
      <c r="N221" s="21">
        <f t="shared" si="39"/>
        <v>11</v>
      </c>
      <c r="O221" s="20">
        <f t="shared" si="39"/>
        <v>11</v>
      </c>
      <c r="P221" s="20">
        <f t="shared" si="39"/>
        <v>11</v>
      </c>
      <c r="Q221" s="21">
        <f t="shared" si="39"/>
        <v>11</v>
      </c>
      <c r="R221" s="22"/>
      <c r="S221" s="22"/>
      <c r="T221" s="22"/>
    </row>
    <row r="222" spans="5:20" x14ac:dyDescent="0.25">
      <c r="E222" s="45" t="s">
        <v>409</v>
      </c>
      <c r="F222" s="44" t="s">
        <v>410</v>
      </c>
      <c r="G222" s="42">
        <v>1</v>
      </c>
      <c r="H222" s="33">
        <v>0.5</v>
      </c>
      <c r="I222" s="21">
        <f t="shared" si="39"/>
        <v>1</v>
      </c>
      <c r="J222" s="21">
        <f t="shared" si="39"/>
        <v>1</v>
      </c>
      <c r="K222" s="21">
        <f t="shared" si="39"/>
        <v>1</v>
      </c>
      <c r="L222" s="20">
        <f t="shared" si="39"/>
        <v>1</v>
      </c>
      <c r="M222" s="20">
        <f t="shared" si="39"/>
        <v>1</v>
      </c>
      <c r="N222" s="21">
        <f t="shared" si="39"/>
        <v>1</v>
      </c>
      <c r="O222" s="20">
        <f t="shared" si="39"/>
        <v>1</v>
      </c>
      <c r="P222" s="20">
        <f t="shared" si="39"/>
        <v>1</v>
      </c>
      <c r="Q222" s="21">
        <f t="shared" si="39"/>
        <v>1</v>
      </c>
      <c r="R222" s="22"/>
      <c r="S222" s="22"/>
      <c r="T222" s="22"/>
    </row>
    <row r="223" spans="5:20" x14ac:dyDescent="0.25">
      <c r="H223" s="48"/>
      <c r="I223" s="49"/>
      <c r="J223" s="49"/>
      <c r="K223" s="49"/>
      <c r="L223" s="49"/>
      <c r="M223" s="49"/>
      <c r="N223" s="49"/>
      <c r="O223" s="49"/>
      <c r="P223" s="49"/>
      <c r="Q223" s="49"/>
      <c r="R223" s="49"/>
      <c r="S223" s="49"/>
      <c r="T223" s="49"/>
    </row>
    <row r="225" spans="7:7" x14ac:dyDescent="0.25">
      <c r="G225" s="50">
        <f>SUBTOTAL(9,G5:G222)</f>
        <v>1547.5</v>
      </c>
    </row>
    <row r="226" spans="7:7" x14ac:dyDescent="0.25">
      <c r="G226" s="51">
        <f>SUM(G5:G222)</f>
        <v>1547.5</v>
      </c>
    </row>
  </sheetData>
  <autoFilter ref="E3:T223">
    <filterColumn colId="14" showButton="0"/>
  </autoFilter>
  <mergeCells count="18">
    <mergeCell ref="H43:H46"/>
    <mergeCell ref="E1:G1"/>
    <mergeCell ref="R3:T3"/>
    <mergeCell ref="H4:T4"/>
    <mergeCell ref="H5:T5"/>
    <mergeCell ref="H21:H29"/>
    <mergeCell ref="H194:H196"/>
    <mergeCell ref="H66:H68"/>
    <mergeCell ref="I98:I100"/>
    <mergeCell ref="J98:J100"/>
    <mergeCell ref="K98:K100"/>
    <mergeCell ref="N98:N100"/>
    <mergeCell ref="O98:O100"/>
    <mergeCell ref="P98:P100"/>
    <mergeCell ref="Q98:Q100"/>
    <mergeCell ref="H188:H191"/>
    <mergeCell ref="L98:L100"/>
    <mergeCell ref="M98:M100"/>
  </mergeCells>
  <pageMargins left="0.51181102362204722" right="0.39370078740157483" top="0.8" bottom="0.59" header="0" footer="0"/>
  <pageSetup paperSize="9" scale="6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Нормы 2022</vt:lpstr>
      <vt:lpstr>Временные нормы 2022 (2)</vt:lpstr>
      <vt:lpstr>Временные нормы 2022</vt:lpstr>
    </vt:vector>
  </TitlesOfParts>
  <Company>ВГУЭС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Евгения Станиславовна</dc:creator>
  <cp:lastModifiedBy>Евгения Станиславовна</cp:lastModifiedBy>
  <cp:lastPrinted>2022-10-25T00:46:15Z</cp:lastPrinted>
  <dcterms:created xsi:type="dcterms:W3CDTF">2022-10-05T05:57:36Z</dcterms:created>
  <dcterms:modified xsi:type="dcterms:W3CDTF">2023-01-19T08:11:00Z</dcterms:modified>
</cp:coreProperties>
</file>